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Krycí list rozpočtu" sheetId="1" r:id="rId1"/>
    <sheet name="Stavební rozpočet - součet" sheetId="2" r:id="rId2"/>
    <sheet name="Stavební rozpočet" sheetId="3" r:id="rId3"/>
    <sheet name="Výkaz výměr" sheetId="4" r:id="rId4"/>
  </sheets>
  <definedNames>
    <definedName name="_xlnm.Print_Area" localSheetId="0">'Krycí list rozpočtu'!$A$1:$I$32</definedName>
    <definedName name="_xlnm.Print_Area" localSheetId="2">'Stavební rozpočet'!$A$1:$L$208</definedName>
    <definedName name="_xlnm.Print_Area" localSheetId="1">'Stavební rozpočet - součet'!$A$1:$G$47</definedName>
    <definedName name="_xlnm.Print_Area" localSheetId="3">'Výkaz výměr'!$A$1:$G$252</definedName>
  </definedNames>
  <calcPr fullCalcOnLoad="1"/>
</workbook>
</file>

<file path=xl/sharedStrings.xml><?xml version="1.0" encoding="utf-8"?>
<sst xmlns="http://schemas.openxmlformats.org/spreadsheetml/2006/main" count="1974" uniqueCount="798">
  <si>
    <t>Krycí list rozpočtu</t>
  </si>
  <si>
    <t xml:space="preserve">Název stavby: </t>
  </si>
  <si>
    <t>Mateřská škola Gagarinova</t>
  </si>
  <si>
    <t>Objednatel:</t>
  </si>
  <si>
    <t>Městská část Praha - Suchdol Suchdolské náměstí 73</t>
  </si>
  <si>
    <t>IČ/DIČ:</t>
  </si>
  <si>
    <t>Druh stavby:</t>
  </si>
  <si>
    <t>Nástavba tech. pavilonu II. etapa</t>
  </si>
  <si>
    <t>Projektant:</t>
  </si>
  <si>
    <t>Ing.Aleš Moudrý Dehtáry 17,  250 91 Zeleneč</t>
  </si>
  <si>
    <t>Lokalita:</t>
  </si>
  <si>
    <t>Praha - Suchdol</t>
  </si>
  <si>
    <t>Zhotovitel:</t>
  </si>
  <si>
    <t>Začátek výstavby:</t>
  </si>
  <si>
    <t>Konec výstavby:</t>
  </si>
  <si>
    <t>Položek:</t>
  </si>
  <si>
    <t>162</t>
  </si>
  <si>
    <t>JKSO:</t>
  </si>
  <si>
    <t>Zpracoval:</t>
  </si>
  <si>
    <t>Krejčík S.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</si>
  <si>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</si>
  <si>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</si>
  <si>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</si>
  <si>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</si>
  <si>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</si>
  <si>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</si>
  <si>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</si>
  <si>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</si>
  <si>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</si>
  <si>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</si>
  <si>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</si>
  <si>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</si>
  <si>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</si>
  <si>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</si>
  <si>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</si>
  <si>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</si>
  <si>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</si>
  <si>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</si>
  <si>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Kompletační činnost</t>
  </si>
  <si>
    <t>Provozní vlivy</t>
  </si>
  <si>
    <t>"M"</t>
  </si>
  <si>
    <t>Rozpočtová rezerva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</si>
  <si>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</si>
  <si>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</si>
  <si>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</si>
  <si>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</si>
  <si>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</si>
  <si>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</si>
  <si>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</si>
  <si>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</si>
  <si>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10%</t>
  </si>
  <si>
    <t>DPH 10%</t>
  </si>
  <si>
    <t>Celkem bez DPH</t>
  </si>
  <si>
    <t>Základ 20%</t>
  </si>
  <si>
    <t>DPH 20%</t>
  </si>
  <si>
    <t>Celkem včetně DPH</t>
  </si>
  <si>
    <t>Projektant</t>
  </si>
  <si>
    <t>Objednatel</t>
  </si>
  <si>
    <t>Zhotovitel</t>
  </si>
  <si>
    <t>Datum, razítko a podpis</t>
  </si>
  <si>
    <t>Stavební rozpočet - rekapitulace</t>
  </si>
  <si>
    <t>Název stavby:</t>
  </si>
  <si>
    <t>Nástavba technického pavilonu - II. etapa</t>
  </si>
  <si>
    <t>Zpracováno dne:</t>
  </si>
  <si>
    <t>Objekt</t>
  </si>
  <si>
    <t>Kód</t>
  </si>
  <si>
    <t>Zkrácený popis</t>
  </si>
  <si>
    <t>Náklady (Kč) - dodávka</t>
  </si>
  <si>
    <t>Náklady (Kč) - Montáž</t>
  </si>
  <si>
    <t>Náklady (Kč) - celkem</t>
  </si>
  <si>
    <t>Celková hmotnost (t)</t>
  </si>
  <si>
    <t>31</t>
  </si>
  <si>
    <t>Zdi podpěrné a volné</t>
  </si>
  <si>
    <t>F</t>
  </si>
  <si>
    <t>34</t>
  </si>
  <si>
    <t>Stěny a příčky</t>
  </si>
  <si>
    <t>59</t>
  </si>
  <si>
    <t>Dlažby a předlažby pozemních komunikací a zpevněných ploch</t>
  </si>
  <si>
    <t>61</t>
  </si>
  <si>
    <t>Úprava povrchů vnitřní</t>
  </si>
  <si>
    <t>62</t>
  </si>
  <si>
    <t>Úprava povrchů vnější</t>
  </si>
  <si>
    <t>63</t>
  </si>
  <si>
    <t>Podlahy, podlahové konstrukce</t>
  </si>
  <si>
    <t>64</t>
  </si>
  <si>
    <t>Osazování výplní otvorů</t>
  </si>
  <si>
    <t>711</t>
  </si>
  <si>
    <t>Izolace proti vodě</t>
  </si>
  <si>
    <t>713</t>
  </si>
  <si>
    <t>Izolace tepelné</t>
  </si>
  <si>
    <t>721</t>
  </si>
  <si>
    <t>Vnitřní kanalizace</t>
  </si>
  <si>
    <t>722</t>
  </si>
  <si>
    <t>Vnitřní vodovod,požární vodovod</t>
  </si>
  <si>
    <t>723</t>
  </si>
  <si>
    <t>Vnitřní plynovod</t>
  </si>
  <si>
    <t>725</t>
  </si>
  <si>
    <t>Zařizovací předměty</t>
  </si>
  <si>
    <t>731</t>
  </si>
  <si>
    <t>Kotelny</t>
  </si>
  <si>
    <t>733</t>
  </si>
  <si>
    <t>Rozvod potrubí</t>
  </si>
  <si>
    <t>734</t>
  </si>
  <si>
    <t>Armatury</t>
  </si>
  <si>
    <t>735</t>
  </si>
  <si>
    <t>Otopná tělesa</t>
  </si>
  <si>
    <t>74</t>
  </si>
  <si>
    <t>Elektromontážní práce (silnoproud)</t>
  </si>
  <si>
    <t>762</t>
  </si>
  <si>
    <t>Konstrukce tesařské</t>
  </si>
  <si>
    <t>764</t>
  </si>
  <si>
    <t>Konstrukce klempířské</t>
  </si>
  <si>
    <t>766</t>
  </si>
  <si>
    <t>Konstrukce truhlářské</t>
  </si>
  <si>
    <t>767</t>
  </si>
  <si>
    <t>Konstrukce doplňkové stavební (zámečnické)</t>
  </si>
  <si>
    <t>771</t>
  </si>
  <si>
    <t>Podlahy z dlaždic</t>
  </si>
  <si>
    <t>776</t>
  </si>
  <si>
    <t>Podlahy povlakové</t>
  </si>
  <si>
    <t>781</t>
  </si>
  <si>
    <t>Obklady (keramické)</t>
  </si>
  <si>
    <t>783</t>
  </si>
  <si>
    <t>Nátěry</t>
  </si>
  <si>
    <t>784</t>
  </si>
  <si>
    <t>Malby</t>
  </si>
  <si>
    <t>787</t>
  </si>
  <si>
    <t>Zasklívání</t>
  </si>
  <si>
    <t>791</t>
  </si>
  <si>
    <t>Doplňující konstrukce</t>
  </si>
  <si>
    <t>94</t>
  </si>
  <si>
    <t>Lešení a stavební výtahy</t>
  </si>
  <si>
    <t>H01</t>
  </si>
  <si>
    <t>Budovy občanské výstavby</t>
  </si>
  <si>
    <t>M33</t>
  </si>
  <si>
    <t>Montáže dopravních zařízení a vah</t>
  </si>
  <si>
    <t>Celkem:</t>
  </si>
  <si>
    <t>Stavební rozpočet</t>
  </si>
  <si>
    <t>Doba výstavby:</t>
  </si>
  <si>
    <t xml:space="preserve"> </t>
  </si>
  <si>
    <t>Jednot.</t>
  </si>
  <si>
    <t>Náklady (Kč)</t>
  </si>
  <si>
    <t>Hmotnost (t)</t>
  </si>
  <si>
    <t>Č</t>
  </si>
  <si>
    <t>M.j.</t>
  </si>
  <si>
    <t>Množství</t>
  </si>
  <si>
    <t>cena (Kč)</t>
  </si>
  <si>
    <t>Dodávka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</si>
  <si>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</si>
  <si>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</si>
  <si>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</si>
  <si>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</si>
  <si>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</si>
  <si>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</si>
  <si>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</si>
  <si>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</si>
  <si>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</si>
  <si>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</si>
  <si>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HS</t>
  </si>
  <si>
    <t>1</t>
  </si>
  <si>
    <t>317121033RT3</t>
  </si>
  <si>
    <t>Překlad nenosný do příčky Ytong</t>
  </si>
  <si>
    <t>kus</t>
  </si>
  <si>
    <t>2</t>
  </si>
  <si>
    <t>317121043RT1</t>
  </si>
  <si>
    <t>Překlad nosný porobeton, světlost otv. do 105 cm</t>
  </si>
  <si>
    <t>3</t>
  </si>
  <si>
    <t>342255024RT1</t>
  </si>
  <si>
    <t>Příčky z desek Ytong tl. 10 cm</t>
  </si>
  <si>
    <t>m2</t>
  </si>
  <si>
    <t>4</t>
  </si>
  <si>
    <t>342264051RT1</t>
  </si>
  <si>
    <t>Podhled sádrokartonový na zavěšenou ocel. konstr.</t>
  </si>
  <si>
    <t>5</t>
  </si>
  <si>
    <t>342264051RT3</t>
  </si>
  <si>
    <t>6</t>
  </si>
  <si>
    <t>596111111RT2</t>
  </si>
  <si>
    <t>Kladení dlažby mozaika 1barva, lože z kam.do 4 cm</t>
  </si>
  <si>
    <t>7</t>
  </si>
  <si>
    <t>611471423R00</t>
  </si>
  <si>
    <t>Úprava stropů 1vrstvá ruč.nanáš. UNIFLOT s vyhlaz</t>
  </si>
  <si>
    <t>8</t>
  </si>
  <si>
    <t>612451121R00</t>
  </si>
  <si>
    <t>Omítka vnitřní zdiva, cementová (MC), hladká</t>
  </si>
  <si>
    <t>9</t>
  </si>
  <si>
    <t>612473182R00</t>
  </si>
  <si>
    <t>Omítka vnitřního zdiva ze suché směsi, štuková</t>
  </si>
  <si>
    <t>10</t>
  </si>
  <si>
    <t>612473186R00</t>
  </si>
  <si>
    <t>Příplatek za zabudované rohovníky</t>
  </si>
  <si>
    <t>m</t>
  </si>
  <si>
    <t>11</t>
  </si>
  <si>
    <t>612481113R00</t>
  </si>
  <si>
    <t>Potažení vnitř. stěn sklotex. pletivem s vypnutím</t>
  </si>
  <si>
    <t>12</t>
  </si>
  <si>
    <t>622471317RV7</t>
  </si>
  <si>
    <t>Nátěr nebo nástřik stěn vnějších, složitost 1 - 2</t>
  </si>
  <si>
    <t>13</t>
  </si>
  <si>
    <t>59245310</t>
  </si>
  <si>
    <t>Dlaždice betonová HBB BECIA S 30x30x3,3 cm šedá</t>
  </si>
  <si>
    <t>0</t>
  </si>
  <si>
    <t>14</t>
  </si>
  <si>
    <t>632921913R00</t>
  </si>
  <si>
    <t>Dlažba z dlaždic betonových do písku, tl. 60 mm</t>
  </si>
  <si>
    <t>15</t>
  </si>
  <si>
    <t>632922921R00</t>
  </si>
  <si>
    <t>Kladení dlaždic  na podložky pryžové</t>
  </si>
  <si>
    <t>16</t>
  </si>
  <si>
    <t>Kladení dlaždic 30 x 30 cm na podložky pryžové</t>
  </si>
  <si>
    <t>17</t>
  </si>
  <si>
    <t>642942111RT2</t>
  </si>
  <si>
    <t>Osazení zárubní dveřních ocelových, pl. do 2,5 m2</t>
  </si>
  <si>
    <t>18</t>
  </si>
  <si>
    <t>642942111RT3</t>
  </si>
  <si>
    <t>19</t>
  </si>
  <si>
    <t>642942111RT4</t>
  </si>
  <si>
    <t>20</t>
  </si>
  <si>
    <t>642942111RT5</t>
  </si>
  <si>
    <t>21</t>
  </si>
  <si>
    <t>648951411RT3</t>
  </si>
  <si>
    <t>Osazení parapetních desek dřevěných š. do 25 cm</t>
  </si>
  <si>
    <t>PS</t>
  </si>
  <si>
    <t>22</t>
  </si>
  <si>
    <t>711212001RT2</t>
  </si>
  <si>
    <t>Nátěr hydroizolační těsnící hmotou</t>
  </si>
  <si>
    <t>23</t>
  </si>
  <si>
    <t>711471051RZ5</t>
  </si>
  <si>
    <t>Izolace, tlak. voda, vodorovná fólií PVC, volně</t>
  </si>
  <si>
    <t>24</t>
  </si>
  <si>
    <t>998711202R00</t>
  </si>
  <si>
    <t>Přesun hmot pro izolace proti vodě, výšky do 12 m</t>
  </si>
  <si>
    <t>%</t>
  </si>
  <si>
    <t>25</t>
  </si>
  <si>
    <t>63150880</t>
  </si>
  <si>
    <t>Lamely izolační ORSIL NF 3331000x333 tl. 120 mm</t>
  </si>
  <si>
    <t>26</t>
  </si>
  <si>
    <t>713111111RV3</t>
  </si>
  <si>
    <t>Izolace tepelné stropů vrchem kladené volně</t>
  </si>
  <si>
    <t>27</t>
  </si>
  <si>
    <t>713111111RW9</t>
  </si>
  <si>
    <t>28</t>
  </si>
  <si>
    <t>713131121R00</t>
  </si>
  <si>
    <t>Izolace tepelná stěn přichycením drátem</t>
  </si>
  <si>
    <t>29</t>
  </si>
  <si>
    <t>713131161R00</t>
  </si>
  <si>
    <t>Montáž izolace na tmel a hmožd.8 ks/m2, porobeton</t>
  </si>
  <si>
    <t>30</t>
  </si>
  <si>
    <t>765799313RN4</t>
  </si>
  <si>
    <t>Montáž fólie na bednění přibitím, přelepení spojů</t>
  </si>
  <si>
    <t>998713202R00</t>
  </si>
  <si>
    <t>Přesun hmot pro izolace tepelné, výšky do 12 m</t>
  </si>
  <si>
    <t>32</t>
  </si>
  <si>
    <t>721110915R00</t>
  </si>
  <si>
    <t>Oprava - propojení dosavadního potrubí DN 100</t>
  </si>
  <si>
    <t>33</t>
  </si>
  <si>
    <t>721176103R00</t>
  </si>
  <si>
    <t>Potrubí HT připojovací DN 50 x 1,8 mm</t>
  </si>
  <si>
    <t>721176104R00</t>
  </si>
  <si>
    <t>Potrubí HT připojovací DN 70 x 1,9 mm</t>
  </si>
  <si>
    <t>35</t>
  </si>
  <si>
    <t>721176105R00</t>
  </si>
  <si>
    <t>Potrubí HT připojovací DN 100 x 2,7 mm</t>
  </si>
  <si>
    <t>36</t>
  </si>
  <si>
    <t>721176115R00</t>
  </si>
  <si>
    <t>Potrubí HT odpadní svislé DN 100 x 2,7 mm</t>
  </si>
  <si>
    <t>37</t>
  </si>
  <si>
    <t>721194105R00</t>
  </si>
  <si>
    <t>Vyvedení odpadních výpustek D 50 x 1,8</t>
  </si>
  <si>
    <t>38</t>
  </si>
  <si>
    <t>721194109R00</t>
  </si>
  <si>
    <t>Vyvedení odpadních výpustek D 110 x 2,3</t>
  </si>
  <si>
    <t>39</t>
  </si>
  <si>
    <t>721242110R00</t>
  </si>
  <si>
    <t>Lapač střešních splavenin PP HL600 DN 100, kloub</t>
  </si>
  <si>
    <t>40</t>
  </si>
  <si>
    <t>721273145RM1</t>
  </si>
  <si>
    <t>Hlavice ventilační z PVC  DN 100/930</t>
  </si>
  <si>
    <t>41</t>
  </si>
  <si>
    <t>721290111R00</t>
  </si>
  <si>
    <t>Zkouška těsnosti kanalizace vodou DN 125</t>
  </si>
  <si>
    <t>42</t>
  </si>
  <si>
    <t>998721202R00</t>
  </si>
  <si>
    <t>Přesun hmot pro vnitřní kanalizaci, výšky do 12 m</t>
  </si>
  <si>
    <t>43</t>
  </si>
  <si>
    <t>722130214R00</t>
  </si>
  <si>
    <t>Potrubí z trub.závit.pozink.bezešvých 11353, DN 32</t>
  </si>
  <si>
    <t>44</t>
  </si>
  <si>
    <t>722131914R00</t>
  </si>
  <si>
    <t>Oprava-potrubí závitové,vsazení odbočky DN 32</t>
  </si>
  <si>
    <t>soubor</t>
  </si>
  <si>
    <t>45</t>
  </si>
  <si>
    <t>722170911R00</t>
  </si>
  <si>
    <t>Oprava potrubí z PE trubek,vsazení odbočky DN 32</t>
  </si>
  <si>
    <t>46</t>
  </si>
  <si>
    <t>722171213R00</t>
  </si>
  <si>
    <t>Potrubí z PELD, D 32/4,4 mm</t>
  </si>
  <si>
    <t>47</t>
  </si>
  <si>
    <t>722173403R00</t>
  </si>
  <si>
    <t>Potrubí HOSTALEN D do 25mm</t>
  </si>
  <si>
    <t>48</t>
  </si>
  <si>
    <t>722181113R00</t>
  </si>
  <si>
    <t>Ochrana potrubí  DN 25</t>
  </si>
  <si>
    <t>49</t>
  </si>
  <si>
    <t>722190402R00</t>
  </si>
  <si>
    <t>Vyvedení a upevnění výpustek DN 20</t>
  </si>
  <si>
    <t>50</t>
  </si>
  <si>
    <t>722190403R00</t>
  </si>
  <si>
    <t>Vyvedení a upevnění výpustek DN 25</t>
  </si>
  <si>
    <t>51</t>
  </si>
  <si>
    <t>722220111R00</t>
  </si>
  <si>
    <t>Nástěnka K 247, pro výtokový ventil G 1/2</t>
  </si>
  <si>
    <t>52</t>
  </si>
  <si>
    <t>722220112R00</t>
  </si>
  <si>
    <t>Nástěnka K 247, pro výtokový ventil G 1</t>
  </si>
  <si>
    <t>53</t>
  </si>
  <si>
    <t>722220121R00</t>
  </si>
  <si>
    <t>Nástěnka K 247, pro baterii G 1/2</t>
  </si>
  <si>
    <t>pár</t>
  </si>
  <si>
    <t>54</t>
  </si>
  <si>
    <t>722254201RT3</t>
  </si>
  <si>
    <t>Hydrantový systém D25, box s plnými dveřmi</t>
  </si>
  <si>
    <t>55</t>
  </si>
  <si>
    <t>722290226R00</t>
  </si>
  <si>
    <t>Zkouška tlaku potrubí závitového DN 50</t>
  </si>
  <si>
    <t>56</t>
  </si>
  <si>
    <t>722290234R00</t>
  </si>
  <si>
    <t>Proplach a dezinfekce vodovod.potrubí DN 80</t>
  </si>
  <si>
    <t>57</t>
  </si>
  <si>
    <t>998722202R00</t>
  </si>
  <si>
    <t>Přesun hmot pro vnitřní vodovod, výšky do 12 m</t>
  </si>
  <si>
    <t>58</t>
  </si>
  <si>
    <t>723120203R00</t>
  </si>
  <si>
    <t>Potrubí ocelové závitové černé svařované DN 20</t>
  </si>
  <si>
    <t>723120205R00</t>
  </si>
  <si>
    <t>Potrubí ocelové závitové černé svařované DN 32</t>
  </si>
  <si>
    <t>60</t>
  </si>
  <si>
    <t>723190252R00</t>
  </si>
  <si>
    <t>Vyvedení a upevnění plynovodních výpustek DN 20</t>
  </si>
  <si>
    <t>723190909R00</t>
  </si>
  <si>
    <t>Zkouška tlaková  plynového potrubí</t>
  </si>
  <si>
    <t>723239102RT2</t>
  </si>
  <si>
    <t>Montáž plynovodních armatur, 2 závity, G 3/4</t>
  </si>
  <si>
    <t>723239104RT2</t>
  </si>
  <si>
    <t>Montáž plynovodních armatur, 2 závity, G 5/4</t>
  </si>
  <si>
    <t>998723202R00</t>
  </si>
  <si>
    <t>Přesun hmot pro vnitřní plynovod, výšky do 12 m</t>
  </si>
  <si>
    <t>65</t>
  </si>
  <si>
    <t>725.103VD</t>
  </si>
  <si>
    <t>Baterie sprchová</t>
  </si>
  <si>
    <t>soub</t>
  </si>
  <si>
    <t>66</t>
  </si>
  <si>
    <t>725.40VD</t>
  </si>
  <si>
    <t>Sprchový kout</t>
  </si>
  <si>
    <t>67</t>
  </si>
  <si>
    <t>725013141R00</t>
  </si>
  <si>
    <t>Klozet kombi LYRA 2423.4, nádrž s armaturou, bílý</t>
  </si>
  <si>
    <t>68</t>
  </si>
  <si>
    <t>725017144R00</t>
  </si>
  <si>
    <t>Umyvadlo na šrouby LYRA 1427.2, 60 cm, bílé</t>
  </si>
  <si>
    <t>69</t>
  </si>
  <si>
    <t>725017148R00</t>
  </si>
  <si>
    <t>Kryt sifonu umyvadel LYRA 1427.1 až 1427.2, bílý</t>
  </si>
  <si>
    <t>70</t>
  </si>
  <si>
    <t>725330913R00</t>
  </si>
  <si>
    <t>Výlevka diturvitová č.5104.6 MIRA</t>
  </si>
  <si>
    <t>71</t>
  </si>
  <si>
    <t>725810402R00</t>
  </si>
  <si>
    <t>Ventil rohový bez přípoj. trubičky TE 66 G 1/2</t>
  </si>
  <si>
    <t>72</t>
  </si>
  <si>
    <t>725829201RT1</t>
  </si>
  <si>
    <t>Montáž baterie umyv.a dřezové nástěnné chromové</t>
  </si>
  <si>
    <t>73</t>
  </si>
  <si>
    <t>998725202R00</t>
  </si>
  <si>
    <t>Přesun hmot pro zařizovací předměty, výšky do 12 m</t>
  </si>
  <si>
    <t>731.100VD</t>
  </si>
  <si>
    <t>D+M kotle ÚT</t>
  </si>
  <si>
    <t>75</t>
  </si>
  <si>
    <t>731.101VD</t>
  </si>
  <si>
    <t>Odkouření kotle</t>
  </si>
  <si>
    <t>76</t>
  </si>
  <si>
    <t>731.51VD</t>
  </si>
  <si>
    <t>Uvedení do provozu,revize</t>
  </si>
  <si>
    <t>77</t>
  </si>
  <si>
    <t>998731202R00</t>
  </si>
  <si>
    <t>Přesun hmot pro kotelny, výšky do 12 m</t>
  </si>
  <si>
    <t>78</t>
  </si>
  <si>
    <t>722181111R00</t>
  </si>
  <si>
    <t>Ochrana potrubí  do DN 20</t>
  </si>
  <si>
    <t>79</t>
  </si>
  <si>
    <t>80</t>
  </si>
  <si>
    <t>722181114R00</t>
  </si>
  <si>
    <t>Ochrana potrubí do DN 40</t>
  </si>
  <si>
    <t>81</t>
  </si>
  <si>
    <t>733161103R00</t>
  </si>
  <si>
    <t>Potrubí měděné Supersan 12 x 1 mm, polotvrdé</t>
  </si>
  <si>
    <t>82</t>
  </si>
  <si>
    <t>733161104R00</t>
  </si>
  <si>
    <t>Potrubí měděné Supersan 15 x 1 mm, polotvrdé</t>
  </si>
  <si>
    <t>83</t>
  </si>
  <si>
    <t>733161106R00</t>
  </si>
  <si>
    <t>Potrubí měděné Supersan 18 x 1 mm, polotvrdé</t>
  </si>
  <si>
    <t>84</t>
  </si>
  <si>
    <t>733161107R00</t>
  </si>
  <si>
    <t>Potrubí měděné Supersan 22 x 1 mm, polotvrdé</t>
  </si>
  <si>
    <t>85</t>
  </si>
  <si>
    <t>733161108R00</t>
  </si>
  <si>
    <t>Potrubí měděné Supersan 28 x 1,5 mm, tvrdé</t>
  </si>
  <si>
    <t>86</t>
  </si>
  <si>
    <t>904      R02</t>
  </si>
  <si>
    <t>Hzs-zkousky v ramci montaz.praci</t>
  </si>
  <si>
    <t>hod</t>
  </si>
  <si>
    <t>87</t>
  </si>
  <si>
    <t>998733203R00</t>
  </si>
  <si>
    <t>Přesun hmot pro rozvody potrubí, výšky do 24 m</t>
  </si>
  <si>
    <t>88</t>
  </si>
  <si>
    <t>734209115RT2</t>
  </si>
  <si>
    <t>Montáž armatur závitových,se 2závity, G 1</t>
  </si>
  <si>
    <t>89</t>
  </si>
  <si>
    <t>734209116RT2</t>
  </si>
  <si>
    <t>Montáž armatur závitových,se 2závity, G 5/4</t>
  </si>
  <si>
    <t>90</t>
  </si>
  <si>
    <t>734221604R00</t>
  </si>
  <si>
    <t>Ventily termostat.bez hlavice RDRV80 rohové, G 3/8</t>
  </si>
  <si>
    <t>91</t>
  </si>
  <si>
    <t>734221672R00</t>
  </si>
  <si>
    <t>Hlavice ovládání ventilů termostat. RD 80 R</t>
  </si>
  <si>
    <t>92</t>
  </si>
  <si>
    <t>734261213RT3</t>
  </si>
  <si>
    <t>Šroubení  V 4300 přímé, G 1/2</t>
  </si>
  <si>
    <t>93</t>
  </si>
  <si>
    <t>734261313RT3</t>
  </si>
  <si>
    <t>Šroubení  V 4301 rohové, G 1/2</t>
  </si>
  <si>
    <t>734291114R00</t>
  </si>
  <si>
    <t>Kohouty plnící a vypouštěcí G 3/4</t>
  </si>
  <si>
    <t>95</t>
  </si>
  <si>
    <t>998734203R00</t>
  </si>
  <si>
    <t>Přesun hmot pro armatury, výšky do 24 m</t>
  </si>
  <si>
    <t>96</t>
  </si>
  <si>
    <t>735156121R00</t>
  </si>
  <si>
    <t>Otopná tělesa panelová Radik Klasik 10   400/ 500</t>
  </si>
  <si>
    <t>97</t>
  </si>
  <si>
    <t>735156222R00</t>
  </si>
  <si>
    <t>Otopná tělesa panelová Radik Klasik 11   400/ 600</t>
  </si>
  <si>
    <t>98</t>
  </si>
  <si>
    <t>735156561R00</t>
  </si>
  <si>
    <t>Otopná tělesa panelová Radik Klasik 21  600/ 500</t>
  </si>
  <si>
    <t>99</t>
  </si>
  <si>
    <t>735156563R00</t>
  </si>
  <si>
    <t>Otopná tělesa panelová Radik Klasik 21  600/ 700</t>
  </si>
  <si>
    <t>100</t>
  </si>
  <si>
    <t>735156564R00</t>
  </si>
  <si>
    <t>Otopná tělesa panelová Radik Klasik 21  600/ 800</t>
  </si>
  <si>
    <t>101</t>
  </si>
  <si>
    <t>735156566R00</t>
  </si>
  <si>
    <t>Otopná tělesa panelová Radik Klasik 21  600/1000</t>
  </si>
  <si>
    <t>102</t>
  </si>
  <si>
    <t>998735202R00</t>
  </si>
  <si>
    <t>Přesun hmot pro otopná tělesa, výšky do 12 m</t>
  </si>
  <si>
    <t>103</t>
  </si>
  <si>
    <t>741.01VD</t>
  </si>
  <si>
    <t>Elektroinstalace  - rozvaděč,rozvody,svítidla,hromosvod</t>
  </si>
  <si>
    <t>104</t>
  </si>
  <si>
    <t>60726017.A</t>
  </si>
  <si>
    <t>Deska dřevoštěpková OSB 3 N - 4PD tl. 25 mm</t>
  </si>
  <si>
    <t>105</t>
  </si>
  <si>
    <t>762512245R00</t>
  </si>
  <si>
    <t>Položení podlah pod PVC šroubováním</t>
  </si>
  <si>
    <t>106</t>
  </si>
  <si>
    <t>762526110RT2</t>
  </si>
  <si>
    <t>Položení polštářů pod podlahy rozteče do 65 cm</t>
  </si>
  <si>
    <t>107</t>
  </si>
  <si>
    <t>998762202R00</t>
  </si>
  <si>
    <t>Přesun hmot pro tesařské konstrukce, výšky do 12 m</t>
  </si>
  <si>
    <t>108</t>
  </si>
  <si>
    <t>764410440RT2</t>
  </si>
  <si>
    <t>Oplechování parapetů z Al tl. 0,63 mm, rš 250 mm</t>
  </si>
  <si>
    <t>109</t>
  </si>
  <si>
    <t>998764202R00</t>
  </si>
  <si>
    <t>Přesun hmot pro klempířské konstr., výšky do 12 m</t>
  </si>
  <si>
    <t>110</t>
  </si>
  <si>
    <t>61164081</t>
  </si>
  <si>
    <t>Dveře vnitř.prof.plné BERGAMO 1kř. 60x197 dub</t>
  </si>
  <si>
    <t>111</t>
  </si>
  <si>
    <t>61164083</t>
  </si>
  <si>
    <t>Dveře vnitř.prof.plné BERGAMO 1kř. 70x197 dub</t>
  </si>
  <si>
    <t>112</t>
  </si>
  <si>
    <t>61164085</t>
  </si>
  <si>
    <t>Dveře vnitř.prof.plné BERGAMO 1kř. 80x197 dub</t>
  </si>
  <si>
    <t>113</t>
  </si>
  <si>
    <t>61164087</t>
  </si>
  <si>
    <t>Dveře vnitř.prof.plné BERGAMO 1kř. 90x197 dub</t>
  </si>
  <si>
    <t>114</t>
  </si>
  <si>
    <t>61191741</t>
  </si>
  <si>
    <t>Palubka obkladová MD tloušťka 20 šíře do 80 mm</t>
  </si>
  <si>
    <t>115</t>
  </si>
  <si>
    <t>766.-P100VD</t>
  </si>
  <si>
    <t>Dodávka a montáž plastových výrobků</t>
  </si>
  <si>
    <t>116</t>
  </si>
  <si>
    <t>766.1111DVD</t>
  </si>
  <si>
    <t>Dodávka a montáž dělících příček WC včetně dveří</t>
  </si>
  <si>
    <t>117</t>
  </si>
  <si>
    <t>766.7777VD</t>
  </si>
  <si>
    <t>Fasádní obkladové desky FUNDERMAX do 20mm tl.</t>
  </si>
  <si>
    <t>118</t>
  </si>
  <si>
    <t>76600KLVD</t>
  </si>
  <si>
    <t>Dodávka a montáž kuch.linky vč.myčky a dvojdřezu</t>
  </si>
  <si>
    <t>119</t>
  </si>
  <si>
    <t>766100OBVD</t>
  </si>
  <si>
    <t>Dodávka a montáž obkladu m.č.201 včetně roštu</t>
  </si>
  <si>
    <t>120</t>
  </si>
  <si>
    <t>766412123R00</t>
  </si>
  <si>
    <t>Obložení stěn nad 1 m2 palubkami MD, š. do 10 cm</t>
  </si>
  <si>
    <t>121</t>
  </si>
  <si>
    <t>766414122R00</t>
  </si>
  <si>
    <t>Obložení stěn pl. do 5 m2, panely MD do 1,5 m2</t>
  </si>
  <si>
    <t>122</t>
  </si>
  <si>
    <t>766422223R00</t>
  </si>
  <si>
    <t>Obložení podhledů jednod. panely MD pl. nad 1,5 m2</t>
  </si>
  <si>
    <t>123</t>
  </si>
  <si>
    <t>766662112R00</t>
  </si>
  <si>
    <t>Montáž dveří do rám.zárubně 1kříd. š.do 80 cm</t>
  </si>
  <si>
    <t>124</t>
  </si>
  <si>
    <t>767.00VD</t>
  </si>
  <si>
    <t>Ocelová konstrukce z tenkostěnných profilů</t>
  </si>
  <si>
    <t>125</t>
  </si>
  <si>
    <t>998766202R00</t>
  </si>
  <si>
    <t>Přesun hmot pro truhlářské konstr., výšky do 12 m</t>
  </si>
  <si>
    <t>126</t>
  </si>
  <si>
    <t>767.01VD</t>
  </si>
  <si>
    <t>Ocelová konstrukce schodiště a podesty vč.zábradlí</t>
  </si>
  <si>
    <t>127</t>
  </si>
  <si>
    <t>767.46VD</t>
  </si>
  <si>
    <t>Zábradlí francouzského okna a terasy</t>
  </si>
  <si>
    <t>128</t>
  </si>
  <si>
    <t>767100ODVD</t>
  </si>
  <si>
    <t>Odvětrání digestoře</t>
  </si>
  <si>
    <t>129</t>
  </si>
  <si>
    <t>767100PVVD</t>
  </si>
  <si>
    <t>Dodávka a montáž přístřešku nad vstupem</t>
  </si>
  <si>
    <t>ks</t>
  </si>
  <si>
    <t>130</t>
  </si>
  <si>
    <t>767100TVD</t>
  </si>
  <si>
    <t>Dodávka a montáž pozinkovaných sítí pro květiny</t>
  </si>
  <si>
    <t>kg</t>
  </si>
  <si>
    <t>131</t>
  </si>
  <si>
    <t>767TSVD</t>
  </si>
  <si>
    <t>Točité schodiště - bude upřesněno dle výr.dokumentace</t>
  </si>
  <si>
    <t>132</t>
  </si>
  <si>
    <t>998767202R00</t>
  </si>
  <si>
    <t>Přesun hmot pro zámečnické konstr., výšky do 12 m</t>
  </si>
  <si>
    <t>133</t>
  </si>
  <si>
    <t>59764203</t>
  </si>
  <si>
    <t>Dlažba Taurus Granit matná 300x300x9 mm</t>
  </si>
  <si>
    <t>134</t>
  </si>
  <si>
    <t>771475014RT2</t>
  </si>
  <si>
    <t>Obklad soklíků keram.rovných, tmel,10x10 cm</t>
  </si>
  <si>
    <t>135</t>
  </si>
  <si>
    <t>771575107RT2</t>
  </si>
  <si>
    <t>Montáž podlah keram.,režné hladké, tmel, 20x20 cm</t>
  </si>
  <si>
    <t>136</t>
  </si>
  <si>
    <t>771579793RT3</t>
  </si>
  <si>
    <t>Příplatek za spárovací hmotu - plošně</t>
  </si>
  <si>
    <t>137</t>
  </si>
  <si>
    <t>771589791R00</t>
  </si>
  <si>
    <t>Příplatek za plochu do 5 m2 jednotlivě</t>
  </si>
  <si>
    <t>138</t>
  </si>
  <si>
    <t>998771202R00</t>
  </si>
  <si>
    <t>Přesun hmot pro podlahy z dlaždic, výšky do 12 m</t>
  </si>
  <si>
    <t>139</t>
  </si>
  <si>
    <t>776421100RU1</t>
  </si>
  <si>
    <t>Lepení podlahových soklíků z měkčeného PVC</t>
  </si>
  <si>
    <t>140</t>
  </si>
  <si>
    <t>776521100RU2</t>
  </si>
  <si>
    <t>Lepení povlakových podlah z pásů PVC na Chemopren</t>
  </si>
  <si>
    <t>141</t>
  </si>
  <si>
    <t>998776202R00</t>
  </si>
  <si>
    <t>Přesun hmot pro podlahy povlakové, výšky do 12 m</t>
  </si>
  <si>
    <t>142</t>
  </si>
  <si>
    <t>597813605</t>
  </si>
  <si>
    <t>Obkládačka Color One</t>
  </si>
  <si>
    <t>143</t>
  </si>
  <si>
    <t>781415014RT2</t>
  </si>
  <si>
    <t>Montáž obkladů stěn, porovin., do tmele, 20x10 cm</t>
  </si>
  <si>
    <t>144</t>
  </si>
  <si>
    <t>781419711R00</t>
  </si>
  <si>
    <t>Příplatek k obkladu stěn za plochu do 10 m2 jedntl</t>
  </si>
  <si>
    <t>145</t>
  </si>
  <si>
    <t>781449705RT3</t>
  </si>
  <si>
    <t>146</t>
  </si>
  <si>
    <t>998781202R00</t>
  </si>
  <si>
    <t>Přesun hmot pro obklady keramické, výšky do 12 m</t>
  </si>
  <si>
    <t>147</t>
  </si>
  <si>
    <t>783222110RT1</t>
  </si>
  <si>
    <t>Nátěr syntetický kovových konstrukcí 2 x, Paulín</t>
  </si>
  <si>
    <t>148</t>
  </si>
  <si>
    <t>783424240R00</t>
  </si>
  <si>
    <t>Nátěr syntet. potrubí do DN 50 mm  Z+1x +1x email</t>
  </si>
  <si>
    <t>149</t>
  </si>
  <si>
    <t>783782103RT2</t>
  </si>
  <si>
    <t>Nátěr tesařských konstrukcí prostředkem KATRIT</t>
  </si>
  <si>
    <t>150</t>
  </si>
  <si>
    <t>784191101R00</t>
  </si>
  <si>
    <t>Penetrace podkladu univerzální Primalex 1x</t>
  </si>
  <si>
    <t>151</t>
  </si>
  <si>
    <t>784195212R00</t>
  </si>
  <si>
    <t>Malba tekutá Primalex Plus, bílá, 2 x</t>
  </si>
  <si>
    <t>152</t>
  </si>
  <si>
    <t>787193311RT5</t>
  </si>
  <si>
    <t>Zaskl.stěn, tmel. na lišty, izol. dvojsklo do 1 m2</t>
  </si>
  <si>
    <t>153</t>
  </si>
  <si>
    <t>998787202R00</t>
  </si>
  <si>
    <t>Přesun hmot pro zasklívání, výšky do 12 m</t>
  </si>
  <si>
    <t>154</t>
  </si>
  <si>
    <t>79100VD</t>
  </si>
  <si>
    <t>Hasicí přístroj</t>
  </si>
  <si>
    <t>155</t>
  </si>
  <si>
    <t>79101VD</t>
  </si>
  <si>
    <t>Dodávka a osazení tabulek úniková cesta</t>
  </si>
  <si>
    <t>156</t>
  </si>
  <si>
    <t>941941051R00</t>
  </si>
  <si>
    <t>Montáž lešení leh.řad.s podlahami,š.1,5 m, H 10 m</t>
  </si>
  <si>
    <t>157</t>
  </si>
  <si>
    <t>941941391R00</t>
  </si>
  <si>
    <t>Příplatek za každý měsíc použití lešení k pol.1051</t>
  </si>
  <si>
    <t>158</t>
  </si>
  <si>
    <t>941941851R00</t>
  </si>
  <si>
    <t>Demontáž lešení leh.řad.s podlahami,š.1,5 m,H 10 m</t>
  </si>
  <si>
    <t>159</t>
  </si>
  <si>
    <t>941955003R00</t>
  </si>
  <si>
    <t>Lešení lehké pomocné, výška podlahy do 2,5 m</t>
  </si>
  <si>
    <t>PR</t>
  </si>
  <si>
    <t>160</t>
  </si>
  <si>
    <t>998011002R00</t>
  </si>
  <si>
    <t>Přesun hmot pro budovy zděné výšky do 12 m</t>
  </si>
  <si>
    <t>t</t>
  </si>
  <si>
    <t>MP</t>
  </si>
  <si>
    <t>161</t>
  </si>
  <si>
    <t>330.01VD</t>
  </si>
  <si>
    <t>Dodávka a montáž výtahu</t>
  </si>
  <si>
    <t>OM</t>
  </si>
  <si>
    <t>42610934</t>
  </si>
  <si>
    <t>Čerpadlo Star Wilo RS 25-70 R, RS 25/6, 230 V</t>
  </si>
  <si>
    <t>Výkaz výměr</t>
  </si>
  <si>
    <t>Nástavba technického pavilonu, II. etapa</t>
  </si>
  <si>
    <t>Rozměry</t>
  </si>
  <si>
    <t>;v 300 m.č.213.215;(9.01+2.61+1.85*2+1.64+1.20)*3.0-(0.80+0.90*3)*1.97</t>
  </si>
  <si>
    <t>;v 380 m.č.217-220;(0.80*2+6.50*2+5.0+2.80+3.30+2.10*2+9.0)*3.80</t>
  </si>
  <si>
    <t>;m.č.212.214;(2.51*2+2.46+3.61*2+1.38)*3.40</t>
  </si>
  <si>
    <t>;m.č.207-211;(2.65+4.40+2.55+1.49+6.40+2.75+2.0*2+2.10*2)*3.80</t>
  </si>
  <si>
    <t>;m.č.203-206;(6.49+6.40*2+3.29+2.70)*3.80</t>
  </si>
  <si>
    <t>;odpočet otvorů;-(0.60*2+0.70*7+0.80*8+0.90*7)*1.97</t>
  </si>
  <si>
    <t>;m.č.201.202.206-208.211-217.221-2222;</t>
  </si>
  <si>
    <t>92.50+65.70+19.20+9.0+6.90+7.80+16.30+3.40+6.0+24.90+5.10+5.10+69.30+71.50</t>
  </si>
  <si>
    <t>;m.č.203-205.209.210.218-220;12.90+6.0+1.80+1.40+2.30+1.80+6.0+12.90</t>
  </si>
  <si>
    <t>;prostor schodiště;30.0</t>
  </si>
  <si>
    <t>;strop sádrokarton;402.70+45.10</t>
  </si>
  <si>
    <t>;pod obklady;133.74</t>
  </si>
  <si>
    <t>;m.č.201.202;(15.65+14.58+0.60)*2*3.55-(0.80+0.90)*2*1.97-(2.70*2.40*2+5.20*1.85+5.20*3.20)</t>
  </si>
  <si>
    <t>;ostění;(2.70+2.40*2)*0.20*2+(5.20+1.85*2)*0.20+(5.20+3.20*2)*0.20</t>
  </si>
  <si>
    <t>;m.č.203;(3.29+4.55)*2*3.55-(0.70+0.80*2)*1.97</t>
  </si>
  <si>
    <t>;m.č.204;(2.20+2.70)*2*3.55-(0.70*1.97*2+0.90*0.90)+0.90*3*0.20</t>
  </si>
  <si>
    <t>;m.č.205;(1.0+1.75)*2*3.55-0.70*1.97</t>
  </si>
  <si>
    <t>;m.č.206;(3.0+6.40)*2*3.55-(0.80*1.97+0.90*1.97*2+1.60*1.50)+(1.60+1.50*2)*0.20</t>
  </si>
  <si>
    <t>;m.č.207;(3.85+2.90)*2*3.55-(0.80*1.97*2+0.90*1.97*2+1.60*2.40)+(1.60+2.40*2)*0.20</t>
  </si>
  <si>
    <t>;m.č.208;(2.55+2.71)*2*3.55-(0.60*2+0.80)*1.97</t>
  </si>
  <si>
    <t>;m.č.209;(0.90+1.49)*2*3.55-0.60*1.97</t>
  </si>
  <si>
    <t>;m.č.210;(1.55+1.49)*2*3.55-0.60*1.97</t>
  </si>
  <si>
    <t>;m.č.211;(1.54+5.91)*2*3.55-(0.80+0.90)*1.97</t>
  </si>
  <si>
    <t>;m.č.212;(4.87+3.61)*2*2.75-(0.90*1.97*3+1.60*1.50)+(1.60+1.50*2)*0.20</t>
  </si>
  <si>
    <t>;m.č.213;(1.85+1.81)*2*2.75-0.90*1.97</t>
  </si>
  <si>
    <t>;m.č.214;(2.46+2.41)*2*2.75-0.70*1.97</t>
  </si>
  <si>
    <t>;m.č.215;(5.60+6.40)*2*2.75-(0.70*3+0.80*2+0.90*2)*1.97-(1.60*1.50)+(1.60+1.50*2)*0.20</t>
  </si>
  <si>
    <t>;m.č.216;(2.10+2.40)*2*3.55-(0.70*1.97+0.90*0.90)+0.90*3*0.20</t>
  </si>
  <si>
    <t>;m.č.217;(2.10+2.40)*2*3.55-0.70*1.97</t>
  </si>
  <si>
    <t>;m.č.218;(1.01+1.75)*2*3.55-0.70*1.97</t>
  </si>
  <si>
    <t>;m.č.219;(2.20+2.70)*2*3.55-(0.70*1.97+0.90*0.90)+0.90*3*0.20</t>
  </si>
  <si>
    <t>;m.č.220;(3.30+4.55)*2*3.55-(0.70+0.80*2)*1.97</t>
  </si>
  <si>
    <t>;m.č.221.222;(16.56+13.58+0.60)*2*3.55-(0.80+0.90*2)*1.97</t>
  </si>
  <si>
    <t>-(1.75*1.85+2.70*2.40+3.60*3.20+4.40*1.85+4.74*1.85)</t>
  </si>
  <si>
    <t>;ostění;(1.75+1.85*2)*0.20+(2.70+2.40*2)*0.20+(3.60+3.20*2)*0.20+(4.40+1.85*2)*0.2+(4.74+1.85*2)*0.2</t>
  </si>
  <si>
    <t>;odpočet obkladů;-133.74</t>
  </si>
  <si>
    <t>3.80*16</t>
  </si>
  <si>
    <t>;příčky YTONG;417.18*2</t>
  </si>
  <si>
    <t>;nátěr stávající fasády JV;(36.53+0.30+2.40)*4.04-(1.40*2.10*9+1.50*3.0*2)</t>
  </si>
  <si>
    <t>(1.40+2.10*2)*0.15*9+(1.50+3.0*2)*0.15*2</t>
  </si>
  <si>
    <t>;JZ;12.75*4.04-(2.30*2.10*3)+(2.30+2.10*2)*0.15*3</t>
  </si>
  <si>
    <t>;SZ;(29.64+5.0)*4.04-(1.40*2.10*7+0.90*2.0*2)+(1.40+2.10*2)*0.15*7+(0.90+2.0*2)*0.15*2</t>
  </si>
  <si>
    <t>;SV;12.46*4.04-(1.40*2.10+0.90*2.0)+(1.40+2.10*2)*0.15+(0.90+2.0*2)*0.15</t>
  </si>
  <si>
    <t>20.20</t>
  </si>
  <si>
    <t>;okapový chodník;(36.53+13.76+0.50*4)*2*0.50</t>
  </si>
  <si>
    <t>;terasa;70.25</t>
  </si>
  <si>
    <t>;terasa 2.21;20.0</t>
  </si>
  <si>
    <t>0.95*4+1.65*4+1.75+1.80+4.45+4.79+3.55+5.25+1.85</t>
  </si>
  <si>
    <t>;sprchové kouty;1.20*1.20*3+1.20*3*2.0*3</t>
  </si>
  <si>
    <t>11386.20/100</t>
  </si>
  <si>
    <t>622.45*1.02</t>
  </si>
  <si>
    <t>;schodiště;7.20*7.70*1.02</t>
  </si>
  <si>
    <t>;strop nad 1.NP;35.53*12.46-2.40*9.60</t>
  </si>
  <si>
    <t>;podhled - přesah;127.66</t>
  </si>
  <si>
    <t>;výměra dle sádrokartonových stropů;447.50</t>
  </si>
  <si>
    <t>;schodiště;7.20*7.70</t>
  </si>
  <si>
    <t>;FUNDERMAX.modřín.podhled;92.41+402.38+127.66</t>
  </si>
  <si>
    <t>;fasáda;(402.38+127.66)*1.10</t>
  </si>
  <si>
    <t>1007359.40/100</t>
  </si>
  <si>
    <t>;odvětrání;4.50*4</t>
  </si>
  <si>
    <t>60802.73/100</t>
  </si>
  <si>
    <t>;požární vodovod;25</t>
  </si>
  <si>
    <t>;požární vodovod;1</t>
  </si>
  <si>
    <t>;požární vodovod;22</t>
  </si>
  <si>
    <t>;vodovod;186</t>
  </si>
  <si>
    <t>122535.06/100</t>
  </si>
  <si>
    <t>16441.25/100</t>
  </si>
  <si>
    <t>180832.83/100</t>
  </si>
  <si>
    <t>151572/100</t>
  </si>
  <si>
    <t>108315.19/100</t>
  </si>
  <si>
    <t>34284.81/100</t>
  </si>
  <si>
    <t>71493/100</t>
  </si>
  <si>
    <t>447.80*1.08</t>
  </si>
  <si>
    <t>;m.č.201-211;92.50+65.70+12.90+6.0+1.80+19.20+9.0+6.90+1.40+2.30+7.80</t>
  </si>
  <si>
    <t>;m.č.212-222;16.30+3.40+6.0+24.90+5.10+5.10+1.80+6.0+12.90+69.30+71.50</t>
  </si>
  <si>
    <t>;podlaha 2.NP;447.50</t>
  </si>
  <si>
    <t>259527.08/100</t>
  </si>
  <si>
    <t>4.45+0.95*3+1.65*3+2.75*3+5.25*2+4.75*2+3.65+1.75</t>
  </si>
  <si>
    <t>16071.89/100</t>
  </si>
  <si>
    <t>92.41*1.10</t>
  </si>
  <si>
    <t>;okna;4.40*1.85+1.60*1.50*2+0.90*0.90*3+5.20*1.85+4.70*1.85*2+1.70*1.85</t>
  </si>
  <si>
    <t>;dveře;2.70*2.40+2.70*2.40+2.70*2.40+1.60*2.40+5.20*3.20+3.60*3.20</t>
  </si>
  <si>
    <t>2.0*0.70*8</t>
  </si>
  <si>
    <t>(402.38+127.66)*1.04</t>
  </si>
  <si>
    <t>;schodiště;7.20*7.70*2+0.25*7.70*2</t>
  </si>
  <si>
    <t>;JV;4.25*4.70-1.60*1.50+(1.60+1.50*2)*0.16</t>
  </si>
  <si>
    <t>;SZ;(18.75+0.30*2)*4.25-(0.90*0.90*3+1.60*1.50*2+1.60*2.40)</t>
  </si>
  <si>
    <t>0.90*3*0.16+(1.60+1.50*2)*0.16*2+(1.60+2.40*2)*0.16</t>
  </si>
  <si>
    <t>;JV;6.06*5.22+11.34*5.62+9.52*5.62+6.95*5.22+1.0*5.62+1.66*5.62+0.66*5.62</t>
  </si>
  <si>
    <t>;odpočet otvorů;-(2.70*2.40*2+4.74*1.85+5.20*3.20)</t>
  </si>
  <si>
    <t>;přípočet ostění;(2.70+2.40*2)*0.16*2+(4.74+1.85*2)*0.16*2+(5.20+3.20*2)*0.16</t>
  </si>
  <si>
    <t>;JZ;7.43*5.22+8.40*5.62-(1.70*1.85+3.60*3.20)+(1.70+1.85*2)*0.16+(3.60+3.20*2)*0.16</t>
  </si>
  <si>
    <t>;SZ;11.90*5.22+7.40*5.22+0.30*2-(2.70*2.40+4.40*1.85)+(2.70+2.40*2)*0.16+(4.40+1.85*2)*0.16</t>
  </si>
  <si>
    <t>;SV;14.40*5.22-5.20*1.85+(5.20+1.85*2)*0.16</t>
  </si>
  <si>
    <t>1.80*7.50+1.50*6.45+3.16*2.05+18.80*0.80+7.50*1.10+14.50*0.80+7.0*0.80</t>
  </si>
  <si>
    <t>9.70*1.80+4.25*0.16+6.0*0.80+10.15*3.22+3.80*0.50</t>
  </si>
  <si>
    <t>402.08+92.41+127.66</t>
  </si>
  <si>
    <t>3267327.50/100</t>
  </si>
  <si>
    <t>;terasa;5.77+1.22+3.10+4.34+2.30+7.05+4.30+0.55+0.25+4.50</t>
  </si>
  <si>
    <t>;franc.okna;5.20+1.70+4.30+6.95+2.90+7.80+3.10</t>
  </si>
  <si>
    <t>343531.92/100</t>
  </si>
  <si>
    <t>(148.80+112.74/10)*1.02</t>
  </si>
  <si>
    <t xml:space="preserve"> ;m.č.206;(3.0+6.40)*2-(0.80+0.90*2)</t>
  </si>
  <si>
    <t>;m.č.207;(3.85+2.90)*2-(0.80+0.90)*2</t>
  </si>
  <si>
    <t>;m.č.208;(2.55+2.71)*2-(0.60*2+0.80)</t>
  </si>
  <si>
    <t>;m.č.211;(1.54+5.91)*2-0.90*2</t>
  </si>
  <si>
    <t>;m.č.212;(4.87+3.61)*2-0.90*3</t>
  </si>
  <si>
    <t>;m.č.213;(1.85+1.81)*2-0.90</t>
  </si>
  <si>
    <t>;m.č.214;(2.46+2.41)*2-0.70</t>
  </si>
  <si>
    <t>;m.č.215;(5.60+6.40)*2-(0.70*3+0.80*2+0.90*2)</t>
  </si>
  <si>
    <t>;m.č.216;(2.10+2.40)*2-0.70</t>
  </si>
  <si>
    <t>;m.č.217;(2.10+2.40)*2-0.70</t>
  </si>
  <si>
    <t>;m.č.203-220;12.90+6.0+1.80+19.20+9.0+6.90+1.40+2.30+7.80+16.30+3.40+6.0+24.90+5.1+5.1+1.80+6.0+12.9</t>
  </si>
  <si>
    <t>(148.80+112.74*0.10)</t>
  </si>
  <si>
    <t>1.80+1.40+2.30+3.40+1.80</t>
  </si>
  <si>
    <t>101185.95/100</t>
  </si>
  <si>
    <t>;m.č.201.202;(15.64+14.58+0.60)*2-(0.60+0.90)*2</t>
  </si>
  <si>
    <t>;m.č.221.222;(16.56+13.58)*2-(0.80*2+0.90)</t>
  </si>
  <si>
    <t>;m.č.201.202.221.222;92.50+65.70+69.30+71.50</t>
  </si>
  <si>
    <t>130930.9/100</t>
  </si>
  <si>
    <t>133.74*1.02</t>
  </si>
  <si>
    <t>;m.č.203;(3.29+4.55)*2*2.0-(0.70+0.80*2)*2.0</t>
  </si>
  <si>
    <t>;m.č.204;(2.20+2.70)*2*2.0-(0.70*2*2.0+0.90*0.50)+(0.90+0.40*2)*0.15</t>
  </si>
  <si>
    <t>;m.č.205;(1.0+1.75)*2*2.0-0.70*2.0</t>
  </si>
  <si>
    <t>;m.č.209;(0.90+1.49)*2*2.0-0.60*2.0</t>
  </si>
  <si>
    <t>;m.č.210;(1.55+1.49)*2*2.0-0.60*2.0</t>
  </si>
  <si>
    <t>;m.č.212;(2.35+3.25)*1.50</t>
  </si>
  <si>
    <t>;m.č.218;(1.01+1.75)*2*2.0-0.70*2.0</t>
  </si>
  <si>
    <t>;m.č.219;(2.20+2.70)*2*2.0-(0.70*2*2.0+0.90*0.50)+(0.90+0.40*2)*0.15</t>
  </si>
  <si>
    <t>;m.č.220;(3.30+4.55)*2*2.0-(0.70+0.80*2)*2.0</t>
  </si>
  <si>
    <t>;m.č.205.209.218;(1.0+1.75+0.90+1.49+1.0+1.75)*2*2.0-(0.60+0.70*2)*2.0</t>
  </si>
  <si>
    <t>109609.84/100</t>
  </si>
  <si>
    <t>;sloupy JV;(0.32+0.20)*2*4.04*8+(0.18+0.14)*2*4.04</t>
  </si>
  <si>
    <t>;JZ;(0.32+0.20)*2*4.04*2</t>
  </si>
  <si>
    <t>;SZ;(0.232+0.20)*2*4.04*6+(0.18+0.14)*2*4.04*4</t>
  </si>
  <si>
    <t>;SV;(0.32+0.20)*2*4.04*2</t>
  </si>
  <si>
    <t>;plynovod;33.0</t>
  </si>
  <si>
    <t>(0.10+0.18)*2*966.24+(0.06+0.05)*2*447.50*3</t>
  </si>
  <si>
    <t>;m.č.201.202;(15.65+14.58+0.60)*2*3.55-(2.70*2.40*2+5.20*1.85+5.20*3.20)+4.0*3</t>
  </si>
  <si>
    <t>;m.č.203-207;(3.29+4.55+2.20+2.70+1.0+1.75+3.0+6.40+3.85+2.90)*2*3.55</t>
  </si>
  <si>
    <t>;m.č.208-211;(2.55+2.71+0.90+1.49+1.55+1.49+1.54+5.91)*2*3.55</t>
  </si>
  <si>
    <t>;výtah;(1.21+1.40)*2*7.30</t>
  </si>
  <si>
    <t>;m.č.212-215;(4.87+3.61+1.85+1.81+2.46+2.41+5.60+6.40)*2*2.75</t>
  </si>
  <si>
    <t>;m.č.216-219;(2.10+2.40+2.10+2.40+1.01+1.75+2.20+2.70)*2*3.55</t>
  </si>
  <si>
    <t>;m.č.220-222;(3.30+4.55+16.56+13.58+0.60)*2*3.55-(2.70*2.40+3.60*3.20+4.40*1.85+4.74*1.85)+4.0*4</t>
  </si>
  <si>
    <t>;stropy sádrokarton;447.80</t>
  </si>
  <si>
    <t>;odpočet výška 315;-28.67*0.40</t>
  </si>
  <si>
    <t>4.61*7.40*2</t>
  </si>
  <si>
    <t>170364.85/100</t>
  </si>
  <si>
    <t>(37.95+14.40+1.20*2)*2*(9.21-1.80)</t>
  </si>
  <si>
    <t>811.40*2</t>
  </si>
  <si>
    <t>;podhled venkovní;127.66</t>
  </si>
  <si>
    <t>1.094+37.852+28.701+0.161+16.731+1.144+40.937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</si>
</sst>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/M/YYYY"/>
    <numFmt numFmtId="167" formatCode="#,##0.00"/>
  </numFmts>
  <fonts count="10">
    <font>
      <sz val="10"/>
      <name val="Arial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5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1" fillId="0" borderId="1" xfId="0" applyNumberFormat="1" applyFont="1" applyFill="1" applyBorder="1" applyAlignment="1" applyProtection="1">
      <alignment horizontal="center" vertical="center"/>
      <protection/>
    </xf>
    <xf numFmtId="165" fontId="2" fillId="0" borderId="2" xfId="0" applyNumberFormat="1" applyFont="1" applyFill="1" applyBorder="1" applyAlignment="1" applyProtection="1">
      <alignment horizontal="left" vertical="center"/>
      <protection/>
    </xf>
    <xf numFmtId="165" fontId="3" fillId="0" borderId="3" xfId="0" applyNumberFormat="1" applyFont="1" applyFill="1" applyBorder="1" applyAlignment="1" applyProtection="1">
      <alignment horizontal="left" vertical="center"/>
      <protection/>
    </xf>
    <xf numFmtId="165" fontId="2" fillId="0" borderId="3" xfId="0" applyNumberFormat="1" applyFont="1" applyFill="1" applyBorder="1" applyAlignment="1" applyProtection="1">
      <alignment horizontal="left" vertical="center"/>
      <protection/>
    </xf>
    <xf numFmtId="165" fontId="2" fillId="0" borderId="4" xfId="0" applyNumberFormat="1" applyFont="1" applyFill="1" applyBorder="1" applyAlignment="1" applyProtection="1">
      <alignment horizontal="left" vertical="center"/>
      <protection/>
    </xf>
    <xf numFmtId="164" fontId="2" fillId="0" borderId="5" xfId="0" applyNumberFormat="1" applyFont="1" applyFill="1" applyBorder="1" applyAlignment="1" applyProtection="1">
      <alignment vertical="center"/>
      <protection/>
    </xf>
    <xf numFmtId="165" fontId="2" fillId="0" borderId="5" xfId="0" applyNumberFormat="1" applyFont="1" applyFill="1" applyBorder="1" applyAlignment="1" applyProtection="1">
      <alignment horizontal="left" vertical="center"/>
      <protection/>
    </xf>
    <xf numFmtId="165" fontId="3" fillId="0" borderId="0" xfId="0" applyNumberFormat="1" applyFont="1" applyFill="1" applyBorder="1" applyAlignment="1" applyProtection="1">
      <alignment horizontal="left" vertical="center"/>
      <protection/>
    </xf>
    <xf numFmtId="165" fontId="2" fillId="0" borderId="0" xfId="0" applyNumberFormat="1" applyFont="1" applyFill="1" applyBorder="1" applyAlignment="1" applyProtection="1">
      <alignment horizontal="left" vertical="center"/>
      <protection/>
    </xf>
    <xf numFmtId="165" fontId="2" fillId="0" borderId="6" xfId="0" applyNumberFormat="1" applyFont="1" applyFill="1" applyBorder="1" applyAlignment="1" applyProtection="1">
      <alignment horizontal="left" vertical="center"/>
      <protection/>
    </xf>
    <xf numFmtId="166" fontId="2" fillId="0" borderId="0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Border="1" applyAlignment="1" applyProtection="1">
      <alignment horizontal="left" vertical="center"/>
      <protection/>
    </xf>
    <xf numFmtId="165" fontId="2" fillId="0" borderId="7" xfId="0" applyNumberFormat="1" applyFont="1" applyFill="1" applyBorder="1" applyAlignment="1" applyProtection="1">
      <alignment horizontal="left" vertical="center"/>
      <protection/>
    </xf>
    <xf numFmtId="165" fontId="2" fillId="0" borderId="1" xfId="0" applyNumberFormat="1" applyFont="1" applyFill="1" applyBorder="1" applyAlignment="1" applyProtection="1">
      <alignment horizontal="left" vertical="center"/>
      <protection/>
    </xf>
    <xf numFmtId="166" fontId="2" fillId="0" borderId="8" xfId="0" applyNumberFormat="1" applyFont="1" applyFill="1" applyBorder="1" applyAlignment="1" applyProtection="1">
      <alignment horizontal="left" vertical="center"/>
      <protection/>
    </xf>
    <xf numFmtId="165" fontId="4" fillId="0" borderId="9" xfId="0" applyNumberFormat="1" applyFont="1" applyFill="1" applyBorder="1" applyAlignment="1" applyProtection="1">
      <alignment horizontal="center" vertical="center"/>
      <protection/>
    </xf>
    <xf numFmtId="165" fontId="5" fillId="2" borderId="10" xfId="0" applyNumberFormat="1" applyFont="1" applyFill="1" applyBorder="1" applyAlignment="1" applyProtection="1">
      <alignment horizontal="center" vertical="center"/>
      <protection/>
    </xf>
    <xf numFmtId="165" fontId="6" fillId="0" borderId="10" xfId="0" applyNumberFormat="1" applyFont="1" applyFill="1" applyBorder="1" applyAlignment="1" applyProtection="1">
      <alignment horizontal="left" vertical="center"/>
      <protection/>
    </xf>
    <xf numFmtId="165" fontId="7" fillId="0" borderId="11" xfId="0" applyNumberFormat="1" applyFont="1" applyFill="1" applyBorder="1" applyAlignment="1" applyProtection="1">
      <alignment horizontal="left" vertical="center"/>
      <protection/>
    </xf>
    <xf numFmtId="165" fontId="8" fillId="0" borderId="10" xfId="0" applyNumberFormat="1" applyFont="1" applyFill="1" applyBorder="1" applyAlignment="1" applyProtection="1">
      <alignment horizontal="left" vertical="center"/>
      <protection/>
    </xf>
    <xf numFmtId="164" fontId="8" fillId="0" borderId="10" xfId="0" applyNumberFormat="1" applyFont="1" applyFill="1" applyBorder="1" applyAlignment="1" applyProtection="1">
      <alignment horizontal="right" vertical="center"/>
      <protection/>
    </xf>
    <xf numFmtId="165" fontId="7" fillId="0" borderId="12" xfId="0" applyNumberFormat="1" applyFont="1" applyFill="1" applyBorder="1" applyAlignment="1" applyProtection="1">
      <alignment horizontal="left" vertical="center"/>
      <protection/>
    </xf>
    <xf numFmtId="165" fontId="8" fillId="0" borderId="10" xfId="0" applyNumberFormat="1" applyFont="1" applyFill="1" applyBorder="1" applyAlignment="1" applyProtection="1">
      <alignment horizontal="right" vertical="center"/>
      <protection/>
    </xf>
    <xf numFmtId="165" fontId="7" fillId="0" borderId="10" xfId="0" applyNumberFormat="1" applyFont="1" applyFill="1" applyBorder="1" applyAlignment="1" applyProtection="1">
      <alignment horizontal="left" vertical="center"/>
      <protection/>
    </xf>
    <xf numFmtId="164" fontId="2" fillId="0" borderId="9" xfId="0" applyNumberFormat="1" applyFont="1" applyFill="1" applyBorder="1" applyAlignment="1" applyProtection="1">
      <alignment vertical="center"/>
      <protection/>
    </xf>
    <xf numFmtId="164" fontId="2" fillId="0" borderId="3" xfId="0" applyNumberFormat="1" applyFont="1" applyFill="1" applyBorder="1" applyAlignment="1" applyProtection="1">
      <alignment vertical="center"/>
      <protection/>
    </xf>
    <xf numFmtId="165" fontId="7" fillId="2" borderId="13" xfId="0" applyNumberFormat="1" applyFont="1" applyFill="1" applyBorder="1" applyAlignment="1" applyProtection="1">
      <alignment horizontal="left" vertical="center"/>
      <protection/>
    </xf>
    <xf numFmtId="164" fontId="7" fillId="2" borderId="14" xfId="0" applyNumberFormat="1" applyFont="1" applyFill="1" applyBorder="1" applyAlignment="1" applyProtection="1">
      <alignment horizontal="right" vertical="center"/>
      <protection/>
    </xf>
    <xf numFmtId="164" fontId="2" fillId="0" borderId="7" xfId="0" applyNumberFormat="1" applyFont="1" applyFill="1" applyBorder="1" applyAlignment="1" applyProtection="1">
      <alignment vertical="center"/>
      <protection/>
    </xf>
    <xf numFmtId="164" fontId="2" fillId="0" borderId="1" xfId="0" applyNumberFormat="1" applyFont="1" applyFill="1" applyBorder="1" applyAlignment="1" applyProtection="1">
      <alignment vertical="center"/>
      <protection/>
    </xf>
    <xf numFmtId="164" fontId="2" fillId="0" borderId="15" xfId="0" applyNumberFormat="1" applyFont="1" applyFill="1" applyBorder="1" applyAlignment="1" applyProtection="1">
      <alignment vertical="center"/>
      <protection/>
    </xf>
    <xf numFmtId="165" fontId="8" fillId="0" borderId="16" xfId="0" applyNumberFormat="1" applyFont="1" applyFill="1" applyBorder="1" applyAlignment="1" applyProtection="1">
      <alignment horizontal="left" vertical="center"/>
      <protection/>
    </xf>
    <xf numFmtId="164" fontId="2" fillId="0" borderId="17" xfId="0" applyNumberFormat="1" applyFont="1" applyFill="1" applyBorder="1" applyAlignment="1" applyProtection="1">
      <alignment vertical="center"/>
      <protection/>
    </xf>
    <xf numFmtId="165" fontId="8" fillId="0" borderId="18" xfId="0" applyNumberFormat="1" applyFont="1" applyFill="1" applyBorder="1" applyAlignment="1" applyProtection="1">
      <alignment horizontal="left" vertical="center"/>
      <protection/>
    </xf>
    <xf numFmtId="165" fontId="8" fillId="0" borderId="19" xfId="0" applyNumberFormat="1" applyFont="1" applyFill="1" applyBorder="1" applyAlignment="1" applyProtection="1">
      <alignment horizontal="left" vertical="center"/>
      <protection/>
    </xf>
    <xf numFmtId="164" fontId="2" fillId="0" borderId="20" xfId="0" applyNumberFormat="1" applyFont="1" applyFill="1" applyBorder="1" applyAlignment="1" applyProtection="1">
      <alignment vertical="center"/>
      <protection/>
    </xf>
    <xf numFmtId="165" fontId="9" fillId="0" borderId="1" xfId="0" applyNumberFormat="1" applyFont="1" applyFill="1" applyBorder="1" applyAlignment="1" applyProtection="1">
      <alignment horizontal="center" vertical="center"/>
      <protection/>
    </xf>
    <xf numFmtId="165" fontId="2" fillId="0" borderId="21" xfId="0" applyNumberFormat="1" applyFont="1" applyFill="1" applyBorder="1" applyAlignment="1" applyProtection="1">
      <alignment horizontal="left" vertical="center"/>
      <protection/>
    </xf>
    <xf numFmtId="165" fontId="3" fillId="0" borderId="22" xfId="0" applyNumberFormat="1" applyFont="1" applyFill="1" applyBorder="1" applyAlignment="1" applyProtection="1">
      <alignment horizontal="left" vertical="center"/>
      <protection/>
    </xf>
    <xf numFmtId="165" fontId="2" fillId="0" borderId="22" xfId="0" applyNumberFormat="1" applyFont="1" applyFill="1" applyBorder="1" applyAlignment="1" applyProtection="1">
      <alignment horizontal="left" vertical="center"/>
      <protection/>
    </xf>
    <xf numFmtId="165" fontId="2" fillId="0" borderId="23" xfId="0" applyNumberFormat="1" applyFont="1" applyFill="1" applyBorder="1" applyAlignment="1" applyProtection="1">
      <alignment horizontal="left" vertical="center"/>
      <protection/>
    </xf>
    <xf numFmtId="165" fontId="2" fillId="0" borderId="24" xfId="0" applyNumberFormat="1" applyFont="1" applyFill="1" applyBorder="1" applyAlignment="1" applyProtection="1">
      <alignment horizontal="left" vertical="center"/>
      <protection/>
    </xf>
    <xf numFmtId="165" fontId="2" fillId="0" borderId="25" xfId="0" applyNumberFormat="1" applyFont="1" applyFill="1" applyBorder="1" applyAlignment="1" applyProtection="1">
      <alignment horizontal="left" vertical="center"/>
      <protection/>
    </xf>
    <xf numFmtId="165" fontId="2" fillId="0" borderId="26" xfId="0" applyNumberFormat="1" applyFont="1" applyFill="1" applyBorder="1" applyAlignment="1" applyProtection="1">
      <alignment horizontal="left" vertical="center"/>
      <protection/>
    </xf>
    <xf numFmtId="165" fontId="2" fillId="0" borderId="27" xfId="0" applyNumberFormat="1" applyFont="1" applyFill="1" applyBorder="1" applyAlignment="1" applyProtection="1">
      <alignment horizontal="left" vertical="center"/>
      <protection/>
    </xf>
    <xf numFmtId="166" fontId="2" fillId="0" borderId="28" xfId="0" applyNumberFormat="1" applyFont="1" applyFill="1" applyBorder="1" applyAlignment="1" applyProtection="1">
      <alignment horizontal="left" vertical="center"/>
      <protection/>
    </xf>
    <xf numFmtId="165" fontId="3" fillId="0" borderId="29" xfId="0" applyNumberFormat="1" applyFont="1" applyFill="1" applyBorder="1" applyAlignment="1" applyProtection="1">
      <alignment horizontal="left" vertical="center"/>
      <protection/>
    </xf>
    <xf numFmtId="165" fontId="3" fillId="0" borderId="29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167" fontId="2" fillId="0" borderId="0" xfId="0" applyNumberFormat="1" applyFont="1" applyFill="1" applyBorder="1" applyAlignment="1" applyProtection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right" vertical="center"/>
      <protection/>
    </xf>
    <xf numFmtId="165" fontId="2" fillId="0" borderId="30" xfId="0" applyNumberFormat="1" applyFont="1" applyFill="1" applyBorder="1" applyAlignment="1" applyProtection="1">
      <alignment horizontal="left" vertical="center"/>
      <protection/>
    </xf>
    <xf numFmtId="165" fontId="2" fillId="0" borderId="31" xfId="0" applyNumberFormat="1" applyFont="1" applyFill="1" applyBorder="1" applyAlignment="1" applyProtection="1">
      <alignment horizontal="left" vertical="center"/>
      <protection/>
    </xf>
    <xf numFmtId="166" fontId="2" fillId="0" borderId="31" xfId="0" applyNumberFormat="1" applyFont="1" applyFill="1" applyBorder="1" applyAlignment="1" applyProtection="1">
      <alignment horizontal="left" vertical="center"/>
      <protection/>
    </xf>
    <xf numFmtId="165" fontId="2" fillId="0" borderId="32" xfId="0" applyNumberFormat="1" applyFont="1" applyFill="1" applyBorder="1" applyAlignment="1" applyProtection="1">
      <alignment horizontal="left" vertical="center"/>
      <protection/>
    </xf>
    <xf numFmtId="165" fontId="2" fillId="0" borderId="33" xfId="0" applyNumberFormat="1" applyFont="1" applyFill="1" applyBorder="1" applyAlignment="1" applyProtection="1">
      <alignment horizontal="left" vertical="center"/>
      <protection/>
    </xf>
    <xf numFmtId="165" fontId="2" fillId="0" borderId="34" xfId="0" applyNumberFormat="1" applyFont="1" applyFill="1" applyBorder="1" applyAlignment="1" applyProtection="1">
      <alignment horizontal="left" vertical="center"/>
      <protection/>
    </xf>
    <xf numFmtId="165" fontId="3" fillId="0" borderId="35" xfId="0" applyNumberFormat="1" applyFont="1" applyFill="1" applyBorder="1" applyAlignment="1" applyProtection="1">
      <alignment horizontal="center" vertical="center"/>
      <protection/>
    </xf>
    <xf numFmtId="165" fontId="3" fillId="0" borderId="36" xfId="0" applyNumberFormat="1" applyFont="1" applyFill="1" applyBorder="1" applyAlignment="1" applyProtection="1">
      <alignment horizontal="center" vertical="center"/>
      <protection/>
    </xf>
    <xf numFmtId="165" fontId="3" fillId="0" borderId="37" xfId="0" applyNumberFormat="1" applyFont="1" applyFill="1" applyBorder="1" applyAlignment="1" applyProtection="1">
      <alignment horizontal="left" vertical="center"/>
      <protection/>
    </xf>
    <xf numFmtId="165" fontId="3" fillId="0" borderId="38" xfId="0" applyNumberFormat="1" applyFont="1" applyFill="1" applyBorder="1" applyAlignment="1" applyProtection="1">
      <alignment horizontal="left" vertical="center"/>
      <protection/>
    </xf>
    <xf numFmtId="165" fontId="3" fillId="0" borderId="38" xfId="0" applyNumberFormat="1" applyFont="1" applyFill="1" applyBorder="1" applyAlignment="1" applyProtection="1">
      <alignment horizontal="center" vertical="center"/>
      <protection/>
    </xf>
    <xf numFmtId="165" fontId="3" fillId="0" borderId="39" xfId="0" applyNumberFormat="1" applyFont="1" applyFill="1" applyBorder="1" applyAlignment="1" applyProtection="1">
      <alignment horizontal="right" vertical="center"/>
      <protection/>
    </xf>
    <xf numFmtId="165" fontId="3" fillId="0" borderId="40" xfId="0" applyNumberFormat="1" applyFont="1" applyFill="1" applyBorder="1" applyAlignment="1" applyProtection="1">
      <alignment horizontal="center" vertical="center"/>
      <protection/>
    </xf>
    <xf numFmtId="165" fontId="3" fillId="0" borderId="41" xfId="0" applyNumberFormat="1" applyFont="1" applyFill="1" applyBorder="1" applyAlignment="1" applyProtection="1">
      <alignment horizontal="center" vertical="center"/>
      <protection/>
    </xf>
    <xf numFmtId="165" fontId="3" fillId="0" borderId="42" xfId="0" applyNumberFormat="1" applyFont="1" applyFill="1" applyBorder="1" applyAlignment="1" applyProtection="1">
      <alignment horizontal="center" vertical="center"/>
      <protection/>
    </xf>
    <xf numFmtId="165" fontId="3" fillId="2" borderId="0" xfId="0" applyNumberFormat="1" applyFont="1" applyFill="1" applyBorder="1" applyAlignment="1" applyProtection="1">
      <alignment horizontal="right" vertical="center"/>
      <protection/>
    </xf>
    <xf numFmtId="165" fontId="2" fillId="2" borderId="20" xfId="0" applyNumberFormat="1" applyFont="1" applyFill="1" applyBorder="1" applyAlignment="1" applyProtection="1">
      <alignment horizontal="left" vertical="center"/>
      <protection/>
    </xf>
    <xf numFmtId="165" fontId="3" fillId="2" borderId="20" xfId="0" applyNumberFormat="1" applyFont="1" applyFill="1" applyBorder="1" applyAlignment="1" applyProtection="1">
      <alignment horizontal="left" vertical="center"/>
      <protection/>
    </xf>
    <xf numFmtId="167" fontId="3" fillId="2" borderId="20" xfId="0" applyNumberFormat="1" applyFont="1" applyFill="1" applyBorder="1" applyAlignment="1" applyProtection="1">
      <alignment horizontal="right" vertical="center"/>
      <protection/>
    </xf>
    <xf numFmtId="165" fontId="3" fillId="2" borderId="20" xfId="0" applyNumberFormat="1" applyFont="1" applyFill="1" applyBorder="1" applyAlignment="1" applyProtection="1">
      <alignment horizontal="right" vertical="center"/>
      <protection/>
    </xf>
    <xf numFmtId="167" fontId="3" fillId="2" borderId="0" xfId="0" applyNumberFormat="1" applyFont="1" applyFill="1" applyBorder="1" applyAlignment="1" applyProtection="1">
      <alignment horizontal="right" vertical="center"/>
      <protection/>
    </xf>
    <xf numFmtId="165" fontId="2" fillId="0" borderId="0" xfId="0" applyNumberFormat="1" applyFont="1" applyFill="1" applyBorder="1" applyAlignment="1" applyProtection="1">
      <alignment horizontal="right" vertical="center"/>
      <protection/>
    </xf>
    <xf numFmtId="165" fontId="2" fillId="2" borderId="0" xfId="0" applyNumberFormat="1" applyFont="1" applyFill="1" applyBorder="1" applyAlignment="1" applyProtection="1">
      <alignment horizontal="left" vertical="center"/>
      <protection/>
    </xf>
    <xf numFmtId="165" fontId="3" fillId="2" borderId="0" xfId="0" applyNumberFormat="1" applyFont="1" applyFill="1" applyBorder="1" applyAlignment="1" applyProtection="1">
      <alignment horizontal="left" vertical="center"/>
      <protection/>
    </xf>
    <xf numFmtId="167" fontId="2" fillId="0" borderId="1" xfId="0" applyNumberFormat="1" applyFont="1" applyFill="1" applyBorder="1" applyAlignment="1" applyProtection="1">
      <alignment horizontal="right" vertical="center"/>
      <protection/>
    </xf>
    <xf numFmtId="167" fontId="3" fillId="0" borderId="3" xfId="0" applyNumberFormat="1" applyFont="1" applyFill="1" applyBorder="1" applyAlignment="1" applyProtection="1">
      <alignment horizontal="right" vertical="center"/>
      <protection/>
    </xf>
    <xf numFmtId="166" fontId="2" fillId="0" borderId="32" xfId="0" applyNumberFormat="1" applyFont="1" applyFill="1" applyBorder="1" applyAlignment="1" applyProtection="1">
      <alignment horizontal="left" vertical="center"/>
      <protection/>
    </xf>
    <xf numFmtId="165" fontId="3" fillId="0" borderId="43" xfId="0" applyNumberFormat="1" applyFont="1" applyFill="1" applyBorder="1" applyAlignment="1" applyProtection="1">
      <alignment horizontal="left" vertical="center"/>
      <protection/>
    </xf>
    <xf numFmtId="165" fontId="3" fillId="0" borderId="44" xfId="0" applyNumberFormat="1" applyFont="1" applyFill="1" applyBorder="1" applyAlignment="1" applyProtection="1">
      <alignment horizontal="left" vertical="center"/>
      <protection/>
    </xf>
    <xf numFmtId="165" fontId="3" fillId="0" borderId="45" xfId="0" applyNumberFormat="1" applyFont="1" applyFill="1" applyBorder="1" applyAlignment="1" applyProtection="1">
      <alignment horizontal="right" vertical="center"/>
      <protection/>
    </xf>
    <xf numFmtId="165" fontId="2" fillId="0" borderId="20" xfId="0" applyNumberFormat="1" applyFont="1" applyFill="1" applyBorder="1" applyAlignment="1" applyProtection="1">
      <alignment horizontal="left" vertical="center"/>
      <protection/>
    </xf>
    <xf numFmtId="167" fontId="2" fillId="0" borderId="20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">
      <selection activeCell="A2" sqref="A2"/>
    </sheetView>
  </sheetViews>
  <sheetFormatPr defaultColWidth="11.421875" defaultRowHeight="12.75"/>
  <cols>
    <col min="1" max="1" width="9.140625" style="1" customWidth="1"/>
    <col min="2" max="2" width="11.8515625" style="1" customWidth="1"/>
    <col min="3" max="3" width="21.7109375" style="1" customWidth="1"/>
    <col min="4" max="4" width="8.8515625" style="1" customWidth="1"/>
    <col min="5" max="5" width="14.00390625" style="1" customWidth="1"/>
    <col min="6" max="6" width="22.57421875" style="1" customWidth="1"/>
    <col min="7" max="7" width="9.140625" style="1" customWidth="1"/>
    <col min="8" max="8" width="11.8515625" style="1" customWidth="1"/>
    <col min="9" max="9" width="22.421875" style="1" customWidth="1"/>
  </cols>
  <sheetData>
    <row r="1" spans="1:9" ht="28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0" ht="12.75">
      <c r="A2" s="3" t="s">
        <v>1</v>
      </c>
      <c r="B2" s="3"/>
      <c r="C2" s="4" t="s">
        <v>2</v>
      </c>
      <c r="D2" s="4"/>
      <c r="E2" s="5" t="s">
        <v>3</v>
      </c>
      <c r="F2" s="5" t="s">
        <v>4</v>
      </c>
      <c r="G2" s="5"/>
      <c r="H2" s="5" t="s">
        <v>5</v>
      </c>
      <c r="I2" s="6"/>
      <c r="J2" s="7"/>
    </row>
    <row r="3" spans="1:10" ht="12.75">
      <c r="A3" s="3"/>
      <c r="B3" s="3"/>
      <c r="C3" s="4"/>
      <c r="D3" s="4"/>
      <c r="E3" s="5"/>
      <c r="F3" s="5"/>
      <c r="G3" s="5"/>
      <c r="H3" s="5"/>
      <c r="I3" s="6"/>
      <c r="J3" s="7"/>
    </row>
    <row r="4" spans="1:10" ht="12.75">
      <c r="A4" s="8" t="s">
        <v>6</v>
      </c>
      <c r="B4" s="8"/>
      <c r="C4" s="9" t="s">
        <v>7</v>
      </c>
      <c r="D4" s="9"/>
      <c r="E4" s="10" t="s">
        <v>8</v>
      </c>
      <c r="F4" s="10" t="s">
        <v>9</v>
      </c>
      <c r="G4" s="10"/>
      <c r="H4" s="10" t="s">
        <v>5</v>
      </c>
      <c r="I4" s="11"/>
      <c r="J4" s="7"/>
    </row>
    <row r="5" spans="1:10" ht="12.75">
      <c r="A5" s="8"/>
      <c r="B5" s="8"/>
      <c r="C5" s="9"/>
      <c r="D5" s="9"/>
      <c r="E5" s="10"/>
      <c r="F5" s="10"/>
      <c r="G5" s="10"/>
      <c r="H5" s="10"/>
      <c r="I5" s="11"/>
      <c r="J5" s="7"/>
    </row>
    <row r="6" spans="1:10" ht="12.75">
      <c r="A6" s="8" t="s">
        <v>10</v>
      </c>
      <c r="B6" s="8"/>
      <c r="C6" s="10" t="s">
        <v>11</v>
      </c>
      <c r="D6" s="10"/>
      <c r="E6" s="10" t="s">
        <v>12</v>
      </c>
      <c r="F6" s="10"/>
      <c r="G6" s="10"/>
      <c r="H6" s="10" t="s">
        <v>5</v>
      </c>
      <c r="I6" s="11"/>
      <c r="J6" s="7"/>
    </row>
    <row r="7" spans="1:10" ht="12.75">
      <c r="A7" s="8"/>
      <c r="B7" s="8"/>
      <c r="C7" s="10"/>
      <c r="D7" s="10"/>
      <c r="E7" s="10"/>
      <c r="F7" s="10"/>
      <c r="G7" s="10"/>
      <c r="H7" s="10"/>
      <c r="I7" s="11"/>
      <c r="J7" s="7"/>
    </row>
    <row r="8" spans="1:10" ht="12.75">
      <c r="A8" s="8" t="s">
        <v>13</v>
      </c>
      <c r="B8" s="8"/>
      <c r="C8" s="12"/>
      <c r="D8" s="12"/>
      <c r="E8" s="10" t="s">
        <v>14</v>
      </c>
      <c r="F8" s="13"/>
      <c r="G8" s="13"/>
      <c r="H8" s="10" t="s">
        <v>15</v>
      </c>
      <c r="I8" s="11" t="s">
        <v>16</v>
      </c>
      <c r="J8" s="7"/>
    </row>
    <row r="9" spans="1:10" ht="12.75">
      <c r="A9" s="8"/>
      <c r="B9" s="8"/>
      <c r="C9" s="12"/>
      <c r="D9" s="12"/>
      <c r="E9" s="10"/>
      <c r="F9" s="10"/>
      <c r="G9" s="13"/>
      <c r="H9" s="10"/>
      <c r="I9" s="11"/>
      <c r="J9" s="7"/>
    </row>
    <row r="10" spans="1:10" ht="12.75">
      <c r="A10" s="14" t="s">
        <v>17</v>
      </c>
      <c r="B10" s="14"/>
      <c r="C10" s="15"/>
      <c r="D10" s="15"/>
      <c r="E10" s="15" t="s">
        <v>18</v>
      </c>
      <c r="F10" s="15" t="s">
        <v>19</v>
      </c>
      <c r="G10" s="15"/>
      <c r="H10" s="15" t="s">
        <v>20</v>
      </c>
      <c r="I10" s="16">
        <v>40468</v>
      </c>
      <c r="J10" s="7"/>
    </row>
    <row r="11" spans="1:10" ht="12.75">
      <c r="A11" s="14"/>
      <c r="B11" s="14"/>
      <c r="C11" s="15"/>
      <c r="D11" s="15"/>
      <c r="E11" s="15"/>
      <c r="F11" s="15"/>
      <c r="G11" s="15"/>
      <c r="H11" s="15"/>
      <c r="I11" s="16"/>
      <c r="J11" s="7"/>
    </row>
    <row r="12" spans="1:9" ht="23.25" customHeight="1">
      <c r="A12" s="17" t="s">
        <v>21</v>
      </c>
      <c r="B12" s="17"/>
      <c r="C12" s="17"/>
      <c r="D12" s="17"/>
      <c r="E12" s="17"/>
      <c r="F12" s="17"/>
      <c r="G12" s="17"/>
      <c r="H12" s="17"/>
      <c r="I12" s="17"/>
    </row>
    <row r="13" spans="1:10" ht="26.25" customHeight="1">
      <c r="A13" s="18" t="s">
        <v>22</v>
      </c>
      <c r="B13" s="19" t="s">
        <v>23</v>
      </c>
      <c r="C13" s="19"/>
      <c r="D13" s="18" t="s">
        <v>24</v>
      </c>
      <c r="E13" s="19" t="s">
        <v>25</v>
      </c>
      <c r="F13" s="19"/>
      <c r="G13" s="18" t="s">
        <v>26</v>
      </c>
      <c r="H13" s="19" t="s">
        <v>27</v>
      </c>
      <c r="I13" s="19"/>
      <c r="J13" s="7"/>
    </row>
    <row r="14" spans="1:10" ht="15" customHeight="1">
      <c r="A14" s="20" t="s">
        <v>28</v>
      </c>
      <c r="B14" s="21" t="s">
        <v>29</v>
      </c>
      <c r="C14" s="22"/>
      <c r="D14" s="21" t="s">
        <v>30</v>
      </c>
      <c r="E14" s="21"/>
      <c r="F14" s="22"/>
      <c r="G14" s="21" t="s">
        <v>31</v>
      </c>
      <c r="H14" s="21"/>
      <c r="I14" s="22"/>
      <c r="J14" s="7"/>
    </row>
    <row r="15" spans="1:10" ht="15" customHeight="1">
      <c r="A15" s="23"/>
      <c r="B15" s="21" t="s">
        <v>32</v>
      </c>
      <c r="C15" s="22"/>
      <c r="D15" s="21" t="s">
        <v>33</v>
      </c>
      <c r="E15" s="21"/>
      <c r="F15" s="22"/>
      <c r="G15" s="21" t="s">
        <v>34</v>
      </c>
      <c r="H15" s="21"/>
      <c r="I15" s="22"/>
      <c r="J15" s="7"/>
    </row>
    <row r="16" spans="1:10" ht="15" customHeight="1">
      <c r="A16" s="20" t="s">
        <v>35</v>
      </c>
      <c r="B16" s="21" t="s">
        <v>29</v>
      </c>
      <c r="C16" s="22"/>
      <c r="D16" s="21" t="s">
        <v>36</v>
      </c>
      <c r="E16" s="21"/>
      <c r="F16" s="22"/>
      <c r="G16" s="21" t="s">
        <v>37</v>
      </c>
      <c r="H16" s="21"/>
      <c r="I16" s="22"/>
      <c r="J16" s="7"/>
    </row>
    <row r="17" spans="1:10" ht="15" customHeight="1">
      <c r="A17" s="23"/>
      <c r="B17" s="21" t="s">
        <v>32</v>
      </c>
      <c r="C17" s="22"/>
      <c r="D17" s="21" t="s">
        <v>38</v>
      </c>
      <c r="E17" s="21"/>
      <c r="F17" s="22"/>
      <c r="G17" s="21" t="s">
        <v>39</v>
      </c>
      <c r="H17" s="21"/>
      <c r="I17" s="22"/>
      <c r="J17" s="7"/>
    </row>
    <row r="18" spans="1:10" ht="15" customHeight="1">
      <c r="A18" s="20" t="s">
        <v>40</v>
      </c>
      <c r="B18" s="21" t="s">
        <v>29</v>
      </c>
      <c r="C18" s="22"/>
      <c r="D18" s="21" t="s">
        <v>41</v>
      </c>
      <c r="E18" s="21"/>
      <c r="F18" s="22"/>
      <c r="G18" s="21" t="s">
        <v>42</v>
      </c>
      <c r="H18" s="21"/>
      <c r="I18" s="22"/>
      <c r="J18" s="7"/>
    </row>
    <row r="19" spans="1:10" ht="15" customHeight="1">
      <c r="A19" s="23"/>
      <c r="B19" s="21" t="s">
        <v>32</v>
      </c>
      <c r="C19" s="22"/>
      <c r="D19" s="21"/>
      <c r="E19" s="21"/>
      <c r="F19" s="24"/>
      <c r="G19" s="21" t="s">
        <v>43</v>
      </c>
      <c r="H19" s="21"/>
      <c r="I19" s="22"/>
      <c r="J19" s="7"/>
    </row>
    <row r="20" spans="1:10" ht="15" customHeight="1">
      <c r="A20" s="25" t="s">
        <v>44</v>
      </c>
      <c r="B20" s="25"/>
      <c r="C20" s="22"/>
      <c r="D20" s="21"/>
      <c r="E20" s="21"/>
      <c r="F20" s="24"/>
      <c r="G20" s="21"/>
      <c r="H20" s="21"/>
      <c r="I20" s="24"/>
      <c r="J20" s="7"/>
    </row>
    <row r="21" spans="1:10" ht="15" customHeight="1">
      <c r="A21" s="25" t="s">
        <v>45</v>
      </c>
      <c r="B21" s="25"/>
      <c r="C21" s="22"/>
      <c r="D21" s="21"/>
      <c r="E21" s="21"/>
      <c r="F21" s="24"/>
      <c r="G21" s="21"/>
      <c r="H21" s="21"/>
      <c r="I21" s="24"/>
      <c r="J21" s="7"/>
    </row>
    <row r="22" spans="1:10" ht="16.5" customHeight="1">
      <c r="A22" s="25" t="s">
        <v>46</v>
      </c>
      <c r="B22" s="25"/>
      <c r="C22" s="22"/>
      <c r="D22" s="25" t="s">
        <v>47</v>
      </c>
      <c r="E22" s="25"/>
      <c r="F22" s="22"/>
      <c r="G22" s="25" t="s">
        <v>48</v>
      </c>
      <c r="H22" s="25"/>
      <c r="I22" s="22"/>
      <c r="J22" s="7"/>
    </row>
    <row r="23" spans="1:9" ht="12.75">
      <c r="A23" s="26"/>
      <c r="B23" s="26"/>
      <c r="C23" s="26"/>
      <c r="D23" s="27"/>
      <c r="E23" s="27"/>
      <c r="F23" s="27"/>
      <c r="G23" s="27"/>
      <c r="H23" s="27"/>
      <c r="I23" s="27"/>
    </row>
    <row r="24" spans="1:9" ht="15" customHeight="1">
      <c r="A24" s="28" t="s">
        <v>49</v>
      </c>
      <c r="B24" s="28"/>
      <c r="C24" s="29"/>
      <c r="D24" s="30"/>
      <c r="E24" s="31"/>
      <c r="F24" s="31"/>
      <c r="G24" s="31"/>
      <c r="H24" s="31"/>
      <c r="I24" s="31"/>
    </row>
    <row r="25" spans="1:10" ht="15" customHeight="1">
      <c r="A25" s="28" t="s">
        <v>50</v>
      </c>
      <c r="B25" s="28"/>
      <c r="C25" s="29"/>
      <c r="D25" s="28" t="s">
        <v>51</v>
      </c>
      <c r="E25" s="28"/>
      <c r="F25" s="29"/>
      <c r="G25" s="28" t="s">
        <v>52</v>
      </c>
      <c r="H25" s="28"/>
      <c r="I25" s="29"/>
      <c r="J25" s="7"/>
    </row>
    <row r="26" spans="1:10" ht="15" customHeight="1">
      <c r="A26" s="28" t="s">
        <v>53</v>
      </c>
      <c r="B26" s="28"/>
      <c r="C26" s="29"/>
      <c r="D26" s="28" t="s">
        <v>54</v>
      </c>
      <c r="E26" s="28"/>
      <c r="F26" s="29"/>
      <c r="G26" s="28" t="s">
        <v>55</v>
      </c>
      <c r="H26" s="28"/>
      <c r="I26" s="29"/>
      <c r="J26" s="7"/>
    </row>
    <row r="27" spans="1:9" ht="12.75">
      <c r="A27" s="32"/>
      <c r="B27" s="32"/>
      <c r="C27" s="32"/>
      <c r="D27" s="32"/>
      <c r="E27" s="32"/>
      <c r="F27" s="32"/>
      <c r="G27" s="32"/>
      <c r="H27" s="32"/>
      <c r="I27" s="32"/>
    </row>
    <row r="28" spans="1:10" ht="14.25" customHeight="1">
      <c r="A28" s="33" t="s">
        <v>56</v>
      </c>
      <c r="B28" s="33"/>
      <c r="C28" s="33"/>
      <c r="D28" s="33" t="s">
        <v>57</v>
      </c>
      <c r="E28" s="33"/>
      <c r="F28" s="33"/>
      <c r="G28" s="33" t="s">
        <v>58</v>
      </c>
      <c r="H28" s="33"/>
      <c r="I28" s="33"/>
      <c r="J28" s="34"/>
    </row>
    <row r="29" spans="1:10" ht="14.25" customHeight="1">
      <c r="A29" s="35"/>
      <c r="B29" s="35"/>
      <c r="C29" s="35"/>
      <c r="D29" s="35"/>
      <c r="E29" s="35"/>
      <c r="F29" s="35"/>
      <c r="G29" s="35"/>
      <c r="H29" s="35"/>
      <c r="I29" s="35"/>
      <c r="J29" s="34"/>
    </row>
    <row r="30" spans="1:10" ht="14.25" customHeight="1">
      <c r="A30" s="35"/>
      <c r="B30" s="35"/>
      <c r="C30" s="35"/>
      <c r="D30" s="35"/>
      <c r="E30" s="35"/>
      <c r="F30" s="35"/>
      <c r="G30" s="35"/>
      <c r="H30" s="35"/>
      <c r="I30" s="35"/>
      <c r="J30" s="34"/>
    </row>
    <row r="31" spans="1:10" ht="14.25" customHeight="1">
      <c r="A31" s="35"/>
      <c r="B31" s="35"/>
      <c r="C31" s="35"/>
      <c r="D31" s="35"/>
      <c r="E31" s="35"/>
      <c r="F31" s="35"/>
      <c r="G31" s="35"/>
      <c r="H31" s="35"/>
      <c r="I31" s="35"/>
      <c r="J31" s="34"/>
    </row>
    <row r="32" spans="1:10" ht="14.25" customHeight="1">
      <c r="A32" s="36" t="s">
        <v>59</v>
      </c>
      <c r="B32" s="36"/>
      <c r="C32" s="36"/>
      <c r="D32" s="36" t="s">
        <v>59</v>
      </c>
      <c r="E32" s="36"/>
      <c r="F32" s="36"/>
      <c r="G32" s="36" t="s">
        <v>59</v>
      </c>
      <c r="H32" s="36"/>
      <c r="I32" s="36"/>
      <c r="J32" s="34"/>
    </row>
    <row r="33" spans="1:9" ht="12.75">
      <c r="A33" s="37"/>
      <c r="B33" s="37"/>
      <c r="C33" s="37"/>
      <c r="D33" s="37"/>
      <c r="E33" s="37"/>
      <c r="F33" s="37"/>
      <c r="G33" s="37"/>
      <c r="H33" s="37"/>
      <c r="I33" s="37"/>
    </row>
  </sheetData>
  <sheetProtection selectLockedCells="1" selectUnlockedCells="1"/>
  <mergeCells count="78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0:C30"/>
    <mergeCell ref="D30:F30"/>
    <mergeCell ref="G30:I30"/>
    <mergeCell ref="A31:C31"/>
    <mergeCell ref="D31:F31"/>
    <mergeCell ref="G31:I31"/>
    <mergeCell ref="A32:C32"/>
    <mergeCell ref="D32:F32"/>
    <mergeCell ref="G32:I3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workbookViewId="0" topLeftCell="A1">
      <selection activeCell="B4" sqref="B4"/>
    </sheetView>
  </sheetViews>
  <sheetFormatPr defaultColWidth="11.421875" defaultRowHeight="12.75"/>
  <cols>
    <col min="1" max="1" width="12.28125" style="1" customWidth="1"/>
    <col min="2" max="2" width="8.140625" style="1" customWidth="1"/>
    <col min="3" max="3" width="41.7109375" style="1" customWidth="1"/>
    <col min="4" max="4" width="22.140625" style="1" customWidth="1"/>
    <col min="5" max="5" width="21.00390625" style="1" customWidth="1"/>
    <col min="6" max="6" width="20.8515625" style="1" customWidth="1"/>
    <col min="7" max="7" width="19.7109375" style="1" customWidth="1"/>
    <col min="8" max="9" width="0" style="1" hidden="1" customWidth="1"/>
  </cols>
  <sheetData>
    <row r="1" spans="1:7" ht="21.75" customHeight="1">
      <c r="A1" s="38" t="s">
        <v>60</v>
      </c>
      <c r="B1" s="38"/>
      <c r="C1" s="38"/>
      <c r="D1" s="38"/>
      <c r="E1" s="38"/>
      <c r="F1" s="38"/>
      <c r="G1" s="31"/>
    </row>
    <row r="2" spans="1:8" ht="12.75">
      <c r="A2" s="39" t="s">
        <v>61</v>
      </c>
      <c r="B2" s="40" t="s">
        <v>2</v>
      </c>
      <c r="C2" s="40"/>
      <c r="D2" s="41" t="s">
        <v>3</v>
      </c>
      <c r="E2" s="42" t="s">
        <v>4</v>
      </c>
      <c r="F2" s="42"/>
      <c r="G2" s="42"/>
      <c r="H2" s="7"/>
    </row>
    <row r="3" spans="1:8" ht="12.75">
      <c r="A3" s="39"/>
      <c r="B3" s="40"/>
      <c r="C3" s="40"/>
      <c r="D3" s="41"/>
      <c r="E3" s="41"/>
      <c r="F3" s="42"/>
      <c r="G3" s="42"/>
      <c r="H3" s="7"/>
    </row>
    <row r="4" spans="1:8" ht="12.75">
      <c r="A4" s="43" t="s">
        <v>6</v>
      </c>
      <c r="B4" s="10" t="s">
        <v>62</v>
      </c>
      <c r="C4" s="10"/>
      <c r="D4" s="10" t="s">
        <v>8</v>
      </c>
      <c r="E4" s="44" t="s">
        <v>9</v>
      </c>
      <c r="F4" s="44"/>
      <c r="G4" s="44"/>
      <c r="H4" s="7"/>
    </row>
    <row r="5" spans="1:8" ht="12.75">
      <c r="A5" s="43"/>
      <c r="B5" s="10"/>
      <c r="C5" s="10"/>
      <c r="D5" s="10"/>
      <c r="E5" s="10"/>
      <c r="F5" s="44"/>
      <c r="G5" s="44"/>
      <c r="H5" s="7"/>
    </row>
    <row r="6" spans="1:8" ht="12.75">
      <c r="A6" s="43" t="s">
        <v>10</v>
      </c>
      <c r="B6" s="10" t="s">
        <v>11</v>
      </c>
      <c r="C6" s="10"/>
      <c r="D6" s="10" t="s">
        <v>12</v>
      </c>
      <c r="E6" s="44"/>
      <c r="F6" s="44"/>
      <c r="G6" s="44"/>
      <c r="H6" s="7"/>
    </row>
    <row r="7" spans="1:8" ht="12.75">
      <c r="A7" s="43"/>
      <c r="B7" s="10"/>
      <c r="C7" s="10"/>
      <c r="D7" s="10"/>
      <c r="E7" s="10"/>
      <c r="F7" s="44"/>
      <c r="G7" s="44"/>
      <c r="H7" s="7"/>
    </row>
    <row r="8" spans="1:8" ht="12.75">
      <c r="A8" s="45" t="s">
        <v>18</v>
      </c>
      <c r="B8" s="46" t="s">
        <v>19</v>
      </c>
      <c r="C8" s="46"/>
      <c r="D8" s="46" t="s">
        <v>63</v>
      </c>
      <c r="E8" s="47">
        <v>40468</v>
      </c>
      <c r="F8" s="47"/>
      <c r="G8" s="47"/>
      <c r="H8" s="7"/>
    </row>
    <row r="9" spans="1:8" ht="12.75">
      <c r="A9" s="45"/>
      <c r="B9" s="46"/>
      <c r="C9" s="46"/>
      <c r="D9" s="46"/>
      <c r="E9" s="46"/>
      <c r="F9" s="47"/>
      <c r="G9" s="47"/>
      <c r="H9" s="7"/>
    </row>
    <row r="10" spans="1:8" ht="12.75">
      <c r="A10" s="48" t="s">
        <v>64</v>
      </c>
      <c r="B10" s="48" t="s">
        <v>65</v>
      </c>
      <c r="C10" s="48" t="s">
        <v>66</v>
      </c>
      <c r="D10" s="49" t="s">
        <v>67</v>
      </c>
      <c r="E10" s="49" t="s">
        <v>68</v>
      </c>
      <c r="F10" s="49" t="s">
        <v>69</v>
      </c>
      <c r="G10" s="49" t="s">
        <v>70</v>
      </c>
      <c r="H10" s="34"/>
    </row>
    <row r="11" spans="1:9" ht="12.75">
      <c r="A11" s="10"/>
      <c r="B11" s="10" t="s">
        <v>71</v>
      </c>
      <c r="C11" s="10" t="s">
        <v>72</v>
      </c>
      <c r="D11" s="50"/>
      <c r="E11" s="50"/>
      <c r="F11" s="51">
        <f>D11+E11</f>
        <v>0</v>
      </c>
      <c r="G11" s="51">
        <v>1.09431</v>
      </c>
      <c r="H11" s="51" t="s">
        <v>73</v>
      </c>
      <c r="I11" s="51">
        <f>IF(H11="T",0,F11)</f>
        <v>0</v>
      </c>
    </row>
    <row r="12" spans="1:9" ht="12.75">
      <c r="A12" s="10"/>
      <c r="B12" s="10" t="s">
        <v>74</v>
      </c>
      <c r="C12" s="10" t="s">
        <v>75</v>
      </c>
      <c r="F12" s="51">
        <f>D12+E12</f>
        <v>0</v>
      </c>
      <c r="G12" s="51">
        <v>37.85271</v>
      </c>
      <c r="H12" s="51" t="s">
        <v>73</v>
      </c>
      <c r="I12" s="51">
        <f>IF(H12="T",0,F12)</f>
        <v>0</v>
      </c>
    </row>
    <row r="13" spans="1:9" ht="12.75">
      <c r="A13" s="10"/>
      <c r="B13" s="10" t="s">
        <v>76</v>
      </c>
      <c r="C13" s="10" t="s">
        <v>77</v>
      </c>
      <c r="F13" s="51">
        <f>D13+E13</f>
        <v>0</v>
      </c>
      <c r="G13" s="51">
        <v>6.9657</v>
      </c>
      <c r="H13" s="51" t="s">
        <v>73</v>
      </c>
      <c r="I13" s="51">
        <f>IF(H13="T",0,F13)</f>
        <v>0</v>
      </c>
    </row>
    <row r="14" spans="1:9" ht="12.75">
      <c r="A14" s="10"/>
      <c r="B14" s="10" t="s">
        <v>78</v>
      </c>
      <c r="C14" s="10" t="s">
        <v>79</v>
      </c>
      <c r="F14" s="51">
        <f>D14+E14</f>
        <v>0</v>
      </c>
      <c r="G14" s="51">
        <v>26.8305</v>
      </c>
      <c r="H14" s="51" t="s">
        <v>73</v>
      </c>
      <c r="I14" s="51">
        <f>IF(H14="T",0,F14)</f>
        <v>0</v>
      </c>
    </row>
    <row r="15" spans="1:9" ht="12.75">
      <c r="A15" s="10"/>
      <c r="B15" s="10" t="s">
        <v>80</v>
      </c>
      <c r="C15" s="10" t="s">
        <v>81</v>
      </c>
      <c r="F15" s="51">
        <f>D15+E15</f>
        <v>0</v>
      </c>
      <c r="G15" s="51">
        <v>0.16125</v>
      </c>
      <c r="H15" s="51" t="s">
        <v>73</v>
      </c>
      <c r="I15" s="51">
        <f>IF(H15="T",0,F15)</f>
        <v>0</v>
      </c>
    </row>
    <row r="16" spans="1:9" ht="12.75">
      <c r="A16" s="10"/>
      <c r="B16" s="10" t="s">
        <v>82</v>
      </c>
      <c r="C16" s="10" t="s">
        <v>83</v>
      </c>
      <c r="F16" s="51">
        <f>D16+E16</f>
        <v>0</v>
      </c>
      <c r="G16" s="51">
        <v>16.68759</v>
      </c>
      <c r="H16" s="51" t="s">
        <v>73</v>
      </c>
      <c r="I16" s="51">
        <f>IF(H16="T",0,F16)</f>
        <v>0</v>
      </c>
    </row>
    <row r="17" spans="1:9" ht="12.75">
      <c r="A17" s="10"/>
      <c r="B17" s="10" t="s">
        <v>84</v>
      </c>
      <c r="C17" s="10" t="s">
        <v>85</v>
      </c>
      <c r="F17" s="51">
        <f>D17+E17</f>
        <v>0</v>
      </c>
      <c r="G17" s="51">
        <v>1.14477</v>
      </c>
      <c r="H17" s="51" t="s">
        <v>73</v>
      </c>
      <c r="I17" s="51">
        <f>IF(H17="T",0,F17)</f>
        <v>0</v>
      </c>
    </row>
    <row r="18" spans="1:9" ht="12.75">
      <c r="A18" s="10"/>
      <c r="B18" s="10" t="s">
        <v>86</v>
      </c>
      <c r="C18" s="10" t="s">
        <v>87</v>
      </c>
      <c r="F18" s="51">
        <f>D18+E18</f>
        <v>0</v>
      </c>
      <c r="G18" s="51">
        <v>0.08128</v>
      </c>
      <c r="H18" s="51" t="s">
        <v>73</v>
      </c>
      <c r="I18" s="51">
        <f>IF(H18="T",0,F18)</f>
        <v>0</v>
      </c>
    </row>
    <row r="19" spans="1:9" ht="12.75">
      <c r="A19" s="10"/>
      <c r="B19" s="10" t="s">
        <v>88</v>
      </c>
      <c r="C19" s="10" t="s">
        <v>89</v>
      </c>
      <c r="F19" s="51">
        <f>D19+E19</f>
        <v>0</v>
      </c>
      <c r="G19" s="51">
        <v>14.79951</v>
      </c>
      <c r="H19" s="51" t="s">
        <v>73</v>
      </c>
      <c r="I19" s="51">
        <f>IF(H19="T",0,F19)</f>
        <v>0</v>
      </c>
    </row>
    <row r="20" spans="1:9" ht="12.75">
      <c r="A20" s="10"/>
      <c r="B20" s="10" t="s">
        <v>90</v>
      </c>
      <c r="C20" s="10" t="s">
        <v>91</v>
      </c>
      <c r="F20" s="51">
        <f>D20+E20</f>
        <v>0</v>
      </c>
      <c r="G20" s="51">
        <v>0.65139</v>
      </c>
      <c r="H20" s="51" t="s">
        <v>73</v>
      </c>
      <c r="I20" s="51">
        <f>IF(H20="T",0,F20)</f>
        <v>0</v>
      </c>
    </row>
    <row r="21" spans="1:9" ht="12.75">
      <c r="A21" s="10"/>
      <c r="B21" s="10" t="s">
        <v>92</v>
      </c>
      <c r="C21" s="10" t="s">
        <v>93</v>
      </c>
      <c r="F21" s="51">
        <f>D21+E21</f>
        <v>0</v>
      </c>
      <c r="G21" s="51">
        <v>0.527</v>
      </c>
      <c r="H21" s="51" t="s">
        <v>73</v>
      </c>
      <c r="I21" s="51">
        <f>IF(H21="T",0,F21)</f>
        <v>0</v>
      </c>
    </row>
    <row r="22" spans="1:9" ht="12.75">
      <c r="A22" s="10"/>
      <c r="B22" s="10" t="s">
        <v>94</v>
      </c>
      <c r="C22" s="10" t="s">
        <v>95</v>
      </c>
      <c r="F22" s="51">
        <f>D22+E22</f>
        <v>0</v>
      </c>
      <c r="G22" s="51">
        <v>0.47286</v>
      </c>
      <c r="H22" s="51" t="s">
        <v>73</v>
      </c>
      <c r="I22" s="51">
        <f>IF(H22="T",0,F22)</f>
        <v>0</v>
      </c>
    </row>
    <row r="23" spans="1:9" ht="12.75">
      <c r="A23" s="10"/>
      <c r="B23" s="10" t="s">
        <v>96</v>
      </c>
      <c r="C23" s="10" t="s">
        <v>97</v>
      </c>
      <c r="F23" s="51">
        <f>D23+E23</f>
        <v>0</v>
      </c>
      <c r="G23" s="51">
        <v>0.65103</v>
      </c>
      <c r="H23" s="51" t="s">
        <v>73</v>
      </c>
      <c r="I23" s="51">
        <f>IF(H23="T",0,F23)</f>
        <v>0</v>
      </c>
    </row>
    <row r="24" spans="1:9" ht="12.75">
      <c r="A24" s="10"/>
      <c r="B24" s="10" t="s">
        <v>98</v>
      </c>
      <c r="C24" s="10" t="s">
        <v>99</v>
      </c>
      <c r="F24" s="51">
        <f>D24+E24</f>
        <v>0</v>
      </c>
      <c r="G24" s="51">
        <v>0</v>
      </c>
      <c r="H24" s="51" t="s">
        <v>73</v>
      </c>
      <c r="I24" s="51">
        <f>IF(H24="T",0,F24)</f>
        <v>0</v>
      </c>
    </row>
    <row r="25" spans="1:9" ht="12.75">
      <c r="A25" s="10"/>
      <c r="B25" s="10" t="s">
        <v>100</v>
      </c>
      <c r="C25" s="10" t="s">
        <v>101</v>
      </c>
      <c r="F25" s="51">
        <f>D25+E25</f>
        <v>0</v>
      </c>
      <c r="G25" s="51">
        <v>1.67985</v>
      </c>
      <c r="H25" s="51" t="s">
        <v>73</v>
      </c>
      <c r="I25" s="51">
        <f>IF(H25="T",0,F25)</f>
        <v>0</v>
      </c>
    </row>
    <row r="26" spans="1:9" ht="12.75">
      <c r="A26" s="10"/>
      <c r="B26" s="10" t="s">
        <v>102</v>
      </c>
      <c r="C26" s="10" t="s">
        <v>103</v>
      </c>
      <c r="F26" s="51">
        <f>D26+E26</f>
        <v>0</v>
      </c>
      <c r="G26" s="51">
        <v>0.0272</v>
      </c>
      <c r="H26" s="51" t="s">
        <v>73</v>
      </c>
      <c r="I26" s="51">
        <f>IF(H26="T",0,F26)</f>
        <v>0</v>
      </c>
    </row>
    <row r="27" spans="1:9" ht="12.75">
      <c r="A27" s="10"/>
      <c r="B27" s="10" t="s">
        <v>104</v>
      </c>
      <c r="C27" s="10" t="s">
        <v>105</v>
      </c>
      <c r="F27" s="51">
        <f>D27+E27</f>
        <v>0</v>
      </c>
      <c r="G27" s="51">
        <v>0.6402</v>
      </c>
      <c r="H27" s="51" t="s">
        <v>73</v>
      </c>
      <c r="I27" s="51">
        <f>IF(H27="T",0,F27)</f>
        <v>0</v>
      </c>
    </row>
    <row r="28" spans="1:9" ht="12.75">
      <c r="A28" s="10"/>
      <c r="B28" s="10" t="s">
        <v>106</v>
      </c>
      <c r="C28" s="10" t="s">
        <v>107</v>
      </c>
      <c r="F28" s="51">
        <f>D28+E28</f>
        <v>0</v>
      </c>
      <c r="G28" s="51">
        <v>0</v>
      </c>
      <c r="H28" s="51" t="s">
        <v>73</v>
      </c>
      <c r="I28" s="51">
        <f>IF(H28="T",0,F28)</f>
        <v>0</v>
      </c>
    </row>
    <row r="29" spans="1:9" ht="12.75">
      <c r="A29" s="10"/>
      <c r="B29" s="10" t="s">
        <v>108</v>
      </c>
      <c r="C29" s="10" t="s">
        <v>109</v>
      </c>
      <c r="F29" s="51">
        <f>D29+E29</f>
        <v>0</v>
      </c>
      <c r="G29" s="51">
        <v>9.18593</v>
      </c>
      <c r="H29" s="51" t="s">
        <v>73</v>
      </c>
      <c r="I29" s="51">
        <f>IF(H29="T",0,F29)</f>
        <v>0</v>
      </c>
    </row>
    <row r="30" spans="1:9" ht="12.75">
      <c r="A30" s="10"/>
      <c r="B30" s="10" t="s">
        <v>110</v>
      </c>
      <c r="C30" s="10" t="s">
        <v>111</v>
      </c>
      <c r="F30" s="51">
        <f>D30+E30</f>
        <v>0</v>
      </c>
      <c r="G30" s="51">
        <v>0.05646</v>
      </c>
      <c r="H30" s="51" t="s">
        <v>73</v>
      </c>
      <c r="I30" s="51">
        <f>IF(H30="T",0,F30)</f>
        <v>0</v>
      </c>
    </row>
    <row r="31" spans="1:9" ht="12.75">
      <c r="A31" s="10"/>
      <c r="B31" s="10" t="s">
        <v>112</v>
      </c>
      <c r="C31" s="10" t="s">
        <v>113</v>
      </c>
      <c r="F31" s="51">
        <f>D31+E31</f>
        <v>0</v>
      </c>
      <c r="G31" s="51">
        <v>1.86663</v>
      </c>
      <c r="H31" s="51" t="s">
        <v>73</v>
      </c>
      <c r="I31" s="51">
        <f>IF(H31="T",0,F31)</f>
        <v>0</v>
      </c>
    </row>
    <row r="32" spans="1:9" ht="12.75">
      <c r="A32" s="10"/>
      <c r="B32" s="10" t="s">
        <v>114</v>
      </c>
      <c r="C32" s="10" t="s">
        <v>115</v>
      </c>
      <c r="F32" s="51">
        <f>D32+E32</f>
        <v>0</v>
      </c>
      <c r="G32" s="51">
        <v>0</v>
      </c>
      <c r="H32" s="51" t="s">
        <v>73</v>
      </c>
      <c r="I32" s="51">
        <f>IF(H32="T",0,F32)</f>
        <v>0</v>
      </c>
    </row>
    <row r="33" spans="1:9" ht="12.75">
      <c r="A33" s="10"/>
      <c r="B33" s="10" t="s">
        <v>116</v>
      </c>
      <c r="C33" s="10" t="s">
        <v>117</v>
      </c>
      <c r="F33" s="51">
        <f>D33+E33</f>
        <v>0</v>
      </c>
      <c r="G33" s="51">
        <v>3.59789</v>
      </c>
      <c r="H33" s="51" t="s">
        <v>73</v>
      </c>
      <c r="I33" s="51">
        <f>IF(H33="T",0,F33)</f>
        <v>0</v>
      </c>
    </row>
    <row r="34" spans="1:9" ht="12.75">
      <c r="A34" s="10"/>
      <c r="B34" s="10" t="s">
        <v>118</v>
      </c>
      <c r="C34" s="10" t="s">
        <v>119</v>
      </c>
      <c r="F34" s="51">
        <f>D34+E34</f>
        <v>0</v>
      </c>
      <c r="G34" s="51">
        <v>1.13612</v>
      </c>
      <c r="H34" s="51" t="s">
        <v>73</v>
      </c>
      <c r="I34" s="51">
        <f>IF(H34="T",0,F34)</f>
        <v>0</v>
      </c>
    </row>
    <row r="35" spans="1:9" ht="12.75">
      <c r="A35" s="10"/>
      <c r="B35" s="10" t="s">
        <v>120</v>
      </c>
      <c r="C35" s="10" t="s">
        <v>121</v>
      </c>
      <c r="F35" s="51">
        <f>D35+E35</f>
        <v>0</v>
      </c>
      <c r="G35" s="51">
        <v>2.08816</v>
      </c>
      <c r="H35" s="51" t="s">
        <v>73</v>
      </c>
      <c r="I35" s="51">
        <f>IF(H35="T",0,F35)</f>
        <v>0</v>
      </c>
    </row>
    <row r="36" spans="1:9" ht="12.75">
      <c r="A36" s="10"/>
      <c r="B36" s="10" t="s">
        <v>122</v>
      </c>
      <c r="C36" s="10" t="s">
        <v>123</v>
      </c>
      <c r="F36" s="51">
        <f>D36+E36</f>
        <v>0</v>
      </c>
      <c r="G36" s="51">
        <v>0.49808</v>
      </c>
      <c r="H36" s="51" t="s">
        <v>73</v>
      </c>
      <c r="I36" s="51">
        <f>IF(H36="T",0,F36)</f>
        <v>0</v>
      </c>
    </row>
    <row r="37" spans="1:9" ht="12.75">
      <c r="A37" s="10"/>
      <c r="B37" s="10" t="s">
        <v>124</v>
      </c>
      <c r="C37" s="10" t="s">
        <v>125</v>
      </c>
      <c r="F37" s="51">
        <f>D37+E37</f>
        <v>0</v>
      </c>
      <c r="G37" s="51">
        <v>0.32814</v>
      </c>
      <c r="H37" s="51" t="s">
        <v>73</v>
      </c>
      <c r="I37" s="51">
        <f>IF(H37="T",0,F37)</f>
        <v>0</v>
      </c>
    </row>
    <row r="38" spans="1:9" ht="12.75">
      <c r="A38" s="10"/>
      <c r="B38" s="10" t="s">
        <v>126</v>
      </c>
      <c r="C38" s="10" t="s">
        <v>127</v>
      </c>
      <c r="F38" s="51">
        <f>D38+E38</f>
        <v>0</v>
      </c>
      <c r="G38" s="51">
        <v>2.10831</v>
      </c>
      <c r="H38" s="51" t="s">
        <v>73</v>
      </c>
      <c r="I38" s="51">
        <f>IF(H38="T",0,F38)</f>
        <v>0</v>
      </c>
    </row>
    <row r="39" spans="1:9" ht="12.75">
      <c r="A39" s="10"/>
      <c r="B39" s="10" t="s">
        <v>128</v>
      </c>
      <c r="C39" s="10" t="s">
        <v>129</v>
      </c>
      <c r="F39" s="51">
        <f>D39+E39</f>
        <v>0</v>
      </c>
      <c r="G39" s="51">
        <v>0</v>
      </c>
      <c r="H39" s="51" t="s">
        <v>73</v>
      </c>
      <c r="I39" s="51">
        <f>IF(H39="T",0,F39)</f>
        <v>0</v>
      </c>
    </row>
    <row r="40" spans="1:9" ht="12.75">
      <c r="A40" s="10"/>
      <c r="B40" s="10" t="s">
        <v>130</v>
      </c>
      <c r="C40" s="10" t="s">
        <v>131</v>
      </c>
      <c r="F40" s="51">
        <f>D40+E40</f>
        <v>0</v>
      </c>
      <c r="G40" s="51">
        <v>40.93711</v>
      </c>
      <c r="H40" s="51" t="s">
        <v>73</v>
      </c>
      <c r="I40" s="51">
        <f>IF(H40="T",0,F40)</f>
        <v>0</v>
      </c>
    </row>
    <row r="41" spans="1:9" ht="12.75">
      <c r="A41" s="10"/>
      <c r="B41" s="10" t="s">
        <v>132</v>
      </c>
      <c r="C41" s="10" t="s">
        <v>133</v>
      </c>
      <c r="F41" s="51">
        <f>D41+E41</f>
        <v>0</v>
      </c>
      <c r="G41" s="51">
        <v>0</v>
      </c>
      <c r="H41" s="51" t="s">
        <v>73</v>
      </c>
      <c r="I41" s="51">
        <f>IF(H41="T",0,F41)</f>
        <v>0</v>
      </c>
    </row>
    <row r="42" spans="1:9" ht="12.75">
      <c r="A42" s="10"/>
      <c r="B42" s="10" t="s">
        <v>134</v>
      </c>
      <c r="C42" s="10" t="s">
        <v>135</v>
      </c>
      <c r="F42" s="51">
        <f>D42+E42</f>
        <v>0</v>
      </c>
      <c r="G42" s="51">
        <v>0</v>
      </c>
      <c r="H42" s="51" t="s">
        <v>73</v>
      </c>
      <c r="I42" s="51">
        <f>IF(H42="T",0,F42)</f>
        <v>0</v>
      </c>
    </row>
    <row r="43" spans="1:9" ht="12.75">
      <c r="A43" s="10"/>
      <c r="B43" s="10"/>
      <c r="C43" s="10" t="s">
        <v>44</v>
      </c>
      <c r="F43" s="51">
        <f>D43+E43</f>
        <v>0</v>
      </c>
      <c r="G43" s="51">
        <v>0.017</v>
      </c>
      <c r="H43" s="51" t="s">
        <v>73</v>
      </c>
      <c r="I43" s="51">
        <f>IF(H43="T",0,F43)</f>
        <v>0</v>
      </c>
    </row>
    <row r="45" spans="5:6" ht="12.75">
      <c r="E45" s="9" t="s">
        <v>136</v>
      </c>
      <c r="F45" s="52">
        <f>SUM(I11:I43)</f>
        <v>0</v>
      </c>
    </row>
  </sheetData>
  <sheetProtection selectLockedCells="1" selectUnlockedCells="1"/>
  <mergeCells count="17">
    <mergeCell ref="A1:F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7479166666666667" right="0.7479166666666667" top="0.9840277777777777" bottom="0.6375" header="0.5118055555555555" footer="0.4722222222222222"/>
  <pageSetup fitToHeight="1" fitToWidth="1" horizontalDpi="300" verticalDpi="300" orientation="landscape" paperSize="9"/>
  <headerFooter alignWithMargins="0">
    <oddFooter>&amp;L&amp;"Times New Roman,obyčejné"&amp;12&amp;A&amp;C&amp;"Times New Roman,obyčejné"&amp;12II. etapa&amp;R&amp;"Times New Roman,obyčejné"&amp;12&amp;P/&amp;N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07"/>
  <sheetViews>
    <sheetView tabSelected="1" workbookViewId="0" topLeftCell="A1">
      <selection activeCell="H17" sqref="H17"/>
    </sheetView>
  </sheetViews>
  <sheetFormatPr defaultColWidth="11.421875" defaultRowHeight="12.75"/>
  <cols>
    <col min="1" max="2" width="3.7109375" style="1" customWidth="1"/>
    <col min="3" max="3" width="13.28125" style="1" customWidth="1"/>
    <col min="4" max="4" width="34.140625" style="1" customWidth="1"/>
    <col min="5" max="5" width="4.28125" style="1" customWidth="1"/>
    <col min="6" max="6" width="10.8515625" style="1" customWidth="1"/>
    <col min="7" max="7" width="12.00390625" style="1" customWidth="1"/>
    <col min="8" max="9" width="13.140625" style="1" customWidth="1"/>
    <col min="10" max="10" width="13.28125" style="1" customWidth="1"/>
    <col min="11" max="12" width="11.7109375" style="1" customWidth="1"/>
    <col min="14" max="37" width="0" style="1" hidden="1" customWidth="1"/>
  </cols>
  <sheetData>
    <row r="1" spans="1:12" ht="21.75" customHeight="1">
      <c r="A1" s="38" t="s">
        <v>137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2.75">
      <c r="A2" s="3" t="s">
        <v>61</v>
      </c>
      <c r="B2" s="3"/>
      <c r="C2" s="3"/>
      <c r="D2" s="4" t="s">
        <v>2</v>
      </c>
      <c r="E2" s="5" t="s">
        <v>138</v>
      </c>
      <c r="F2" s="5"/>
      <c r="G2" s="5"/>
      <c r="H2" s="5"/>
      <c r="I2" s="5" t="s">
        <v>3</v>
      </c>
      <c r="J2" s="6" t="s">
        <v>4</v>
      </c>
      <c r="K2" s="6"/>
      <c r="L2" s="6"/>
      <c r="M2" s="7"/>
    </row>
    <row r="3" spans="1:13" ht="12.75">
      <c r="A3" s="3"/>
      <c r="B3" s="3"/>
      <c r="C3" s="3"/>
      <c r="D3" s="4"/>
      <c r="E3" s="5"/>
      <c r="F3" s="5"/>
      <c r="G3" s="5"/>
      <c r="H3" s="5"/>
      <c r="I3" s="5"/>
      <c r="J3" s="5"/>
      <c r="K3" s="6"/>
      <c r="L3" s="6"/>
      <c r="M3" s="7"/>
    </row>
    <row r="4" spans="1:13" ht="12.75">
      <c r="A4" s="8" t="s">
        <v>6</v>
      </c>
      <c r="B4" s="8"/>
      <c r="C4" s="8"/>
      <c r="D4" s="10" t="s">
        <v>7</v>
      </c>
      <c r="E4" s="10" t="s">
        <v>13</v>
      </c>
      <c r="F4" s="10"/>
      <c r="G4" s="12"/>
      <c r="H4" s="12"/>
      <c r="I4" s="10" t="s">
        <v>8</v>
      </c>
      <c r="J4" s="11" t="s">
        <v>9</v>
      </c>
      <c r="K4" s="11"/>
      <c r="L4" s="11"/>
      <c r="M4" s="7"/>
    </row>
    <row r="5" spans="1:13" ht="12.75">
      <c r="A5" s="8"/>
      <c r="B5" s="8"/>
      <c r="C5" s="8"/>
      <c r="D5" s="10"/>
      <c r="E5" s="10"/>
      <c r="F5" s="10"/>
      <c r="G5" s="12"/>
      <c r="H5" s="12"/>
      <c r="I5" s="10"/>
      <c r="J5" s="10"/>
      <c r="K5" s="11"/>
      <c r="L5" s="11"/>
      <c r="M5" s="7"/>
    </row>
    <row r="6" spans="1:13" ht="12.75">
      <c r="A6" s="8" t="s">
        <v>10</v>
      </c>
      <c r="B6" s="8"/>
      <c r="C6" s="8"/>
      <c r="D6" s="10" t="s">
        <v>11</v>
      </c>
      <c r="E6" s="10" t="s">
        <v>14</v>
      </c>
      <c r="F6" s="10"/>
      <c r="G6" s="13"/>
      <c r="H6" s="13"/>
      <c r="I6" s="10" t="s">
        <v>12</v>
      </c>
      <c r="J6" s="11"/>
      <c r="K6" s="11"/>
      <c r="L6" s="11"/>
      <c r="M6" s="7"/>
    </row>
    <row r="7" spans="1:13" ht="12.75">
      <c r="A7" s="8"/>
      <c r="B7" s="8"/>
      <c r="C7" s="8"/>
      <c r="D7" s="10"/>
      <c r="E7" s="10"/>
      <c r="F7" s="10"/>
      <c r="G7" s="13"/>
      <c r="H7" s="13"/>
      <c r="I7" s="10"/>
      <c r="J7" s="10"/>
      <c r="K7" s="11"/>
      <c r="L7" s="11"/>
      <c r="M7" s="7"/>
    </row>
    <row r="8" spans="1:13" ht="12.75">
      <c r="A8" s="53" t="s">
        <v>17</v>
      </c>
      <c r="B8" s="53"/>
      <c r="C8" s="53"/>
      <c r="D8" s="54"/>
      <c r="E8" s="54" t="s">
        <v>63</v>
      </c>
      <c r="F8" s="54"/>
      <c r="G8" s="55">
        <v>40468</v>
      </c>
      <c r="H8" s="55"/>
      <c r="I8" s="54" t="s">
        <v>18</v>
      </c>
      <c r="J8" s="56" t="s">
        <v>19</v>
      </c>
      <c r="K8" s="56"/>
      <c r="L8" s="56"/>
      <c r="M8" s="7"/>
    </row>
    <row r="9" spans="1:13" ht="12.75">
      <c r="A9" s="53"/>
      <c r="B9" s="53"/>
      <c r="C9" s="53"/>
      <c r="D9" s="54"/>
      <c r="E9" s="54"/>
      <c r="F9" s="54"/>
      <c r="G9" s="55"/>
      <c r="H9" s="55"/>
      <c r="I9" s="54"/>
      <c r="J9" s="54"/>
      <c r="K9" s="56"/>
      <c r="L9" s="56"/>
      <c r="M9" s="7"/>
    </row>
    <row r="10" spans="1:13" ht="12.75">
      <c r="A10" s="57" t="s">
        <v>139</v>
      </c>
      <c r="B10" s="58" t="s">
        <v>139</v>
      </c>
      <c r="C10" s="58" t="s">
        <v>139</v>
      </c>
      <c r="D10" s="58" t="s">
        <v>139</v>
      </c>
      <c r="E10" s="58" t="s">
        <v>139</v>
      </c>
      <c r="F10" s="58" t="s">
        <v>139</v>
      </c>
      <c r="G10" s="59" t="s">
        <v>140</v>
      </c>
      <c r="H10" s="60" t="s">
        <v>141</v>
      </c>
      <c r="I10" s="60"/>
      <c r="J10" s="60"/>
      <c r="K10" s="60" t="s">
        <v>142</v>
      </c>
      <c r="L10" s="60"/>
      <c r="M10" s="34"/>
    </row>
    <row r="11" spans="1:24" ht="12.75">
      <c r="A11" s="61" t="s">
        <v>143</v>
      </c>
      <c r="B11" s="62" t="s">
        <v>64</v>
      </c>
      <c r="C11" s="62" t="s">
        <v>65</v>
      </c>
      <c r="D11" s="62" t="s">
        <v>66</v>
      </c>
      <c r="E11" s="62" t="s">
        <v>144</v>
      </c>
      <c r="F11" s="63" t="s">
        <v>145</v>
      </c>
      <c r="G11" s="64" t="s">
        <v>146</v>
      </c>
      <c r="H11" s="65" t="s">
        <v>147</v>
      </c>
      <c r="I11" s="66" t="s">
        <v>32</v>
      </c>
      <c r="J11" s="67" t="s">
        <v>148</v>
      </c>
      <c r="K11" s="65" t="s">
        <v>140</v>
      </c>
      <c r="L11" s="67" t="s">
        <v>148</v>
      </c>
      <c r="M11" s="34"/>
      <c r="P11" s="68" t="s">
        <v>149</v>
      </c>
      <c r="Q11" s="68" t="s">
        <v>150</v>
      </c>
      <c r="R11" s="68" t="s">
        <v>151</v>
      </c>
      <c r="S11" s="68" t="s">
        <v>152</v>
      </c>
      <c r="T11" s="68" t="s">
        <v>153</v>
      </c>
      <c r="U11" s="68" t="s">
        <v>154</v>
      </c>
      <c r="V11" s="68" t="s">
        <v>155</v>
      </c>
      <c r="W11" s="68" t="s">
        <v>156</v>
      </c>
      <c r="X11" s="68" t="s">
        <v>157</v>
      </c>
    </row>
    <row r="12" spans="1:37" ht="12.75">
      <c r="A12" s="69"/>
      <c r="B12" s="69"/>
      <c r="C12" s="70" t="s">
        <v>71</v>
      </c>
      <c r="D12" s="70" t="s">
        <v>72</v>
      </c>
      <c r="E12" s="70"/>
      <c r="F12" s="70"/>
      <c r="G12" s="70"/>
      <c r="H12" s="71">
        <f>SUM(H13:H14)</f>
        <v>0</v>
      </c>
      <c r="I12" s="71">
        <f>SUM(I13:I14)</f>
        <v>0</v>
      </c>
      <c r="J12" s="71">
        <f>H12+I12</f>
        <v>0</v>
      </c>
      <c r="K12" s="72"/>
      <c r="L12" s="71">
        <f>SUM(L13:L14)</f>
        <v>1.0943100000000001</v>
      </c>
      <c r="P12" s="73">
        <f>IF(Q12="PR",J12,SUM(O13:O14))</f>
        <v>0</v>
      </c>
      <c r="Q12" s="68" t="s">
        <v>158</v>
      </c>
      <c r="R12" s="73">
        <f>IF(Q12="HS",H12,0)</f>
        <v>0</v>
      </c>
      <c r="S12" s="73">
        <f>IF(Q12="HS",I12-P12,0)</f>
        <v>0</v>
      </c>
      <c r="T12" s="73">
        <f>IF(Q12="PS",H12,0)</f>
        <v>0</v>
      </c>
      <c r="U12" s="73">
        <f>IF(Q12="PS",I12-P12,0)</f>
        <v>0</v>
      </c>
      <c r="V12" s="73">
        <f>IF(Q12="MP",H12,0)</f>
        <v>0</v>
      </c>
      <c r="W12" s="73">
        <f>IF(Q12="MP",I12-P12,0)</f>
        <v>0</v>
      </c>
      <c r="X12" s="73">
        <f>IF(Q12="OM",H12,0)</f>
        <v>0</v>
      </c>
      <c r="Y12" s="68"/>
      <c r="AI12" s="73">
        <f>SUM(Z13:Z14)</f>
        <v>0</v>
      </c>
      <c r="AJ12" s="73">
        <f>SUM(AA13:AA14)</f>
        <v>0</v>
      </c>
      <c r="AK12" s="73">
        <f>SUM(AB13:AB14)</f>
        <v>0</v>
      </c>
    </row>
    <row r="13" spans="1:32" ht="12.75">
      <c r="A13" s="10" t="s">
        <v>159</v>
      </c>
      <c r="B13" s="10"/>
      <c r="C13" s="10" t="s">
        <v>160</v>
      </c>
      <c r="D13" s="10" t="s">
        <v>161</v>
      </c>
      <c r="E13" s="10" t="s">
        <v>162</v>
      </c>
      <c r="F13" s="51">
        <v>28</v>
      </c>
      <c r="H13" s="51">
        <f>ROUND(F13*AE13,2)</f>
        <v>0</v>
      </c>
      <c r="I13" s="51">
        <f>J13-H13</f>
        <v>0</v>
      </c>
      <c r="J13" s="51">
        <f>ROUND(F13*G13,2)</f>
        <v>0</v>
      </c>
      <c r="K13" s="51">
        <v>0.03096</v>
      </c>
      <c r="L13" s="51">
        <f>F13*K13</f>
        <v>0.8668800000000001</v>
      </c>
      <c r="N13" s="74" t="s">
        <v>159</v>
      </c>
      <c r="O13" s="51">
        <f>IF(N13="5",I13,0)</f>
        <v>0</v>
      </c>
      <c r="Z13" s="51">
        <f>IF(AD13=0,J13,0)</f>
        <v>0</v>
      </c>
      <c r="AA13" s="51">
        <f>IF(AD13=10,J13,0)</f>
        <v>0</v>
      </c>
      <c r="AB13" s="51">
        <f>IF(AD13=20,J13,0)</f>
        <v>0</v>
      </c>
      <c r="AD13" s="51">
        <v>20</v>
      </c>
      <c r="AE13" s="51">
        <f>G13*0.806594930532371</f>
        <v>0</v>
      </c>
      <c r="AF13" s="51">
        <f>G13*(1-0.806594930532371)</f>
        <v>0</v>
      </c>
    </row>
    <row r="14" spans="1:32" ht="12.75">
      <c r="A14" s="10" t="s">
        <v>163</v>
      </c>
      <c r="B14" s="10"/>
      <c r="C14" s="10" t="s">
        <v>164</v>
      </c>
      <c r="D14" s="10" t="s">
        <v>165</v>
      </c>
      <c r="E14" s="10" t="s">
        <v>162</v>
      </c>
      <c r="F14" s="51">
        <v>3</v>
      </c>
      <c r="H14" s="51">
        <f>ROUND(F14*AE14,2)</f>
        <v>0</v>
      </c>
      <c r="I14" s="51">
        <f>J14-H14</f>
        <v>0</v>
      </c>
      <c r="J14" s="51">
        <f>ROUND(F14*G14,2)</f>
        <v>0</v>
      </c>
      <c r="K14" s="51">
        <v>0.07581</v>
      </c>
      <c r="L14" s="51">
        <f>F14*K14</f>
        <v>0.22743000000000002</v>
      </c>
      <c r="N14" s="74" t="s">
        <v>159</v>
      </c>
      <c r="O14" s="51">
        <f>IF(N14="5",I14,0)</f>
        <v>0</v>
      </c>
      <c r="Z14" s="51">
        <f>IF(AD14=0,J14,0)</f>
        <v>0</v>
      </c>
      <c r="AA14" s="51">
        <f>IF(AD14=10,J14,0)</f>
        <v>0</v>
      </c>
      <c r="AB14" s="51">
        <f>IF(AD14=20,J14,0)</f>
        <v>0</v>
      </c>
      <c r="AD14" s="51">
        <v>20</v>
      </c>
      <c r="AE14" s="51">
        <f>G14*0.856356432049847</f>
        <v>0</v>
      </c>
      <c r="AF14" s="51">
        <f>G14*(1-0.856356432049847)</f>
        <v>0</v>
      </c>
    </row>
    <row r="15" spans="1:37" ht="12.75">
      <c r="A15" s="75"/>
      <c r="B15" s="75"/>
      <c r="C15" s="76" t="s">
        <v>74</v>
      </c>
      <c r="D15" s="76" t="s">
        <v>75</v>
      </c>
      <c r="E15" s="76"/>
      <c r="F15" s="76"/>
      <c r="G15" s="76"/>
      <c r="H15" s="73">
        <f>SUM(H16:H18)</f>
        <v>0</v>
      </c>
      <c r="I15" s="73">
        <f>SUM(I16:I18)</f>
        <v>0</v>
      </c>
      <c r="J15" s="73">
        <f>H15+I15</f>
        <v>0</v>
      </c>
      <c r="K15" s="68"/>
      <c r="L15" s="73">
        <f>SUM(L16:L18)</f>
        <v>37.852717399999996</v>
      </c>
      <c r="P15" s="73">
        <f>IF(Q15="PR",J15,SUM(O16:O18))</f>
        <v>0</v>
      </c>
      <c r="Q15" s="68" t="s">
        <v>158</v>
      </c>
      <c r="R15" s="73">
        <f>IF(Q15="HS",H15,0)</f>
        <v>0</v>
      </c>
      <c r="S15" s="73">
        <f>IF(Q15="HS",I15-P15,0)</f>
        <v>0</v>
      </c>
      <c r="T15" s="73">
        <f>IF(Q15="PS",H15,0)</f>
        <v>0</v>
      </c>
      <c r="U15" s="73">
        <f>IF(Q15="PS",I15-P15,0)</f>
        <v>0</v>
      </c>
      <c r="V15" s="73">
        <f>IF(Q15="MP",H15,0)</f>
        <v>0</v>
      </c>
      <c r="W15" s="73">
        <f>IF(Q15="MP",I15-P15,0)</f>
        <v>0</v>
      </c>
      <c r="X15" s="73">
        <f>IF(Q15="OM",H15,0)</f>
        <v>0</v>
      </c>
      <c r="Y15" s="68"/>
      <c r="AI15" s="73">
        <f>SUM(Z16:Z18)</f>
        <v>0</v>
      </c>
      <c r="AJ15" s="73">
        <f>SUM(AA16:AA18)</f>
        <v>0</v>
      </c>
      <c r="AK15" s="73">
        <f>SUM(AB16:AB18)</f>
        <v>0</v>
      </c>
    </row>
    <row r="16" spans="1:32" ht="12.75">
      <c r="A16" s="10" t="s">
        <v>166</v>
      </c>
      <c r="B16" s="10"/>
      <c r="C16" s="10" t="s">
        <v>167</v>
      </c>
      <c r="D16" s="10" t="s">
        <v>168</v>
      </c>
      <c r="E16" s="10" t="s">
        <v>169</v>
      </c>
      <c r="F16" s="51">
        <v>417.18</v>
      </c>
      <c r="H16" s="51">
        <f>ROUND(F16*AE16,2)</f>
        <v>0</v>
      </c>
      <c r="I16" s="51">
        <f>J16-H16</f>
        <v>0</v>
      </c>
      <c r="J16" s="51">
        <f>ROUND(F16*G16,2)</f>
        <v>0</v>
      </c>
      <c r="K16" s="51">
        <v>0.07063</v>
      </c>
      <c r="L16" s="51">
        <f>F16*K16</f>
        <v>29.4654234</v>
      </c>
      <c r="N16" s="74" t="s">
        <v>159</v>
      </c>
      <c r="O16" s="51">
        <f>IF(N16="5",I16,0)</f>
        <v>0</v>
      </c>
      <c r="Z16" s="51">
        <f>IF(AD16=0,J16,0)</f>
        <v>0</v>
      </c>
      <c r="AA16" s="51">
        <f>IF(AD16=10,J16,0)</f>
        <v>0</v>
      </c>
      <c r="AB16" s="51">
        <f>IF(AD16=20,J16,0)</f>
        <v>0</v>
      </c>
      <c r="AD16" s="51">
        <v>20</v>
      </c>
      <c r="AE16" s="51">
        <f>G16*0.719320169957511</f>
        <v>0</v>
      </c>
      <c r="AF16" s="51">
        <f>G16*(1-0.719320169957511)</f>
        <v>0</v>
      </c>
    </row>
    <row r="17" spans="1:32" ht="12.75">
      <c r="A17" s="10" t="s">
        <v>170</v>
      </c>
      <c r="B17" s="10"/>
      <c r="C17" s="10" t="s">
        <v>171</v>
      </c>
      <c r="D17" s="10" t="s">
        <v>172</v>
      </c>
      <c r="E17" s="10" t="s">
        <v>169</v>
      </c>
      <c r="F17" s="51">
        <v>402.7</v>
      </c>
      <c r="H17" s="51">
        <f>ROUND(F17*AE17,2)</f>
        <v>0</v>
      </c>
      <c r="I17" s="51">
        <f>J17-H17</f>
        <v>0</v>
      </c>
      <c r="J17" s="51">
        <f>ROUND(F17*G17,2)</f>
        <v>0</v>
      </c>
      <c r="K17" s="51">
        <v>0.01873</v>
      </c>
      <c r="L17" s="51">
        <f>F17*K17</f>
        <v>7.542571</v>
      </c>
      <c r="N17" s="74" t="s">
        <v>159</v>
      </c>
      <c r="O17" s="51">
        <f>IF(N17="5",I17,0)</f>
        <v>0</v>
      </c>
      <c r="Z17" s="51">
        <f>IF(AD17=0,J17,0)</f>
        <v>0</v>
      </c>
      <c r="AA17" s="51">
        <f>IF(AD17=10,J17,0)</f>
        <v>0</v>
      </c>
      <c r="AB17" s="51">
        <f>IF(AD17=20,J17,0)</f>
        <v>0</v>
      </c>
      <c r="AD17" s="51">
        <v>20</v>
      </c>
      <c r="AE17" s="51">
        <f>G17*0.421993941276992</f>
        <v>0</v>
      </c>
      <c r="AF17" s="51">
        <f>G17*(1-0.421993941276992)</f>
        <v>0</v>
      </c>
    </row>
    <row r="18" spans="1:32" ht="12.75">
      <c r="A18" s="10" t="s">
        <v>173</v>
      </c>
      <c r="B18" s="10"/>
      <c r="C18" s="10" t="s">
        <v>174</v>
      </c>
      <c r="D18" s="10" t="s">
        <v>172</v>
      </c>
      <c r="E18" s="10" t="s">
        <v>169</v>
      </c>
      <c r="F18" s="51">
        <v>45.1</v>
      </c>
      <c r="H18" s="51">
        <f>ROUND(F18*AE18,2)</f>
        <v>0</v>
      </c>
      <c r="I18" s="51">
        <f>J18-H18</f>
        <v>0</v>
      </c>
      <c r="J18" s="51">
        <f>ROUND(F18*G18,2)</f>
        <v>0</v>
      </c>
      <c r="K18" s="51">
        <v>0.01873</v>
      </c>
      <c r="L18" s="51">
        <f>F18*K18</f>
        <v>0.844723</v>
      </c>
      <c r="N18" s="74" t="s">
        <v>159</v>
      </c>
      <c r="O18" s="51">
        <f>IF(N18="5",I18,0)</f>
        <v>0</v>
      </c>
      <c r="Z18" s="51">
        <f>IF(AD18=0,J18,0)</f>
        <v>0</v>
      </c>
      <c r="AA18" s="51">
        <f>IF(AD18=10,J18,0)</f>
        <v>0</v>
      </c>
      <c r="AB18" s="51">
        <f>IF(AD18=20,J18,0)</f>
        <v>0</v>
      </c>
      <c r="AD18" s="51">
        <v>20</v>
      </c>
      <c r="AE18" s="51">
        <f>G18*0.460064940954523</f>
        <v>0</v>
      </c>
      <c r="AF18" s="51">
        <f>G18*(1-0.460064940954523)</f>
        <v>0</v>
      </c>
    </row>
    <row r="19" spans="1:37" ht="12.75">
      <c r="A19" s="75"/>
      <c r="B19" s="75"/>
      <c r="C19" s="76" t="s">
        <v>76</v>
      </c>
      <c r="D19" s="76" t="s">
        <v>77</v>
      </c>
      <c r="E19" s="76"/>
      <c r="F19" s="76"/>
      <c r="G19" s="76"/>
      <c r="H19" s="73">
        <f>SUM(H20:H20)</f>
        <v>0</v>
      </c>
      <c r="I19" s="73">
        <f>SUM(I20:I20)</f>
        <v>0</v>
      </c>
      <c r="J19" s="73">
        <f>H19+I19</f>
        <v>0</v>
      </c>
      <c r="K19" s="68"/>
      <c r="L19" s="73">
        <f>SUM(L20:L20)</f>
        <v>6.9657</v>
      </c>
      <c r="P19" s="73">
        <f>IF(Q19="PR",J19,SUM(O20:O20))</f>
        <v>0</v>
      </c>
      <c r="Q19" s="68" t="s">
        <v>158</v>
      </c>
      <c r="R19" s="73">
        <f>IF(Q19="HS",H19,0)</f>
        <v>0</v>
      </c>
      <c r="S19" s="73">
        <f>IF(Q19="HS",I19-P19,0)</f>
        <v>0</v>
      </c>
      <c r="T19" s="73">
        <f>IF(Q19="PS",H19,0)</f>
        <v>0</v>
      </c>
      <c r="U19" s="73">
        <f>IF(Q19="PS",I19-P19,0)</f>
        <v>0</v>
      </c>
      <c r="V19" s="73">
        <f>IF(Q19="MP",H19,0)</f>
        <v>0</v>
      </c>
      <c r="W19" s="73">
        <f>IF(Q19="MP",I19-P19,0)</f>
        <v>0</v>
      </c>
      <c r="X19" s="73">
        <f>IF(Q19="OM",H19,0)</f>
        <v>0</v>
      </c>
      <c r="Y19" s="68"/>
      <c r="AI19" s="73">
        <f>SUM(Z20:Z20)</f>
        <v>0</v>
      </c>
      <c r="AJ19" s="73">
        <f>SUM(AA20:AA20)</f>
        <v>0</v>
      </c>
      <c r="AK19" s="73">
        <f>SUM(AB20:AB20)</f>
        <v>0</v>
      </c>
    </row>
    <row r="20" spans="1:32" ht="12.75">
      <c r="A20" s="10" t="s">
        <v>175</v>
      </c>
      <c r="B20" s="10"/>
      <c r="C20" s="10" t="s">
        <v>176</v>
      </c>
      <c r="D20" s="10" t="s">
        <v>177</v>
      </c>
      <c r="E20" s="10" t="s">
        <v>169</v>
      </c>
      <c r="F20" s="51">
        <v>30</v>
      </c>
      <c r="H20" s="51">
        <f>ROUND(F20*AE20,2)</f>
        <v>0</v>
      </c>
      <c r="I20" s="51">
        <f>J20-H20</f>
        <v>0</v>
      </c>
      <c r="J20" s="51">
        <f>ROUND(F20*G20,2)</f>
        <v>0</v>
      </c>
      <c r="K20" s="51">
        <v>0.23219</v>
      </c>
      <c r="L20" s="51">
        <f>F20*K20</f>
        <v>6.9657</v>
      </c>
      <c r="N20" s="74" t="s">
        <v>159</v>
      </c>
      <c r="O20" s="51">
        <f>IF(N20="5",I20,0)</f>
        <v>0</v>
      </c>
      <c r="Z20" s="51">
        <f>IF(AD20=0,J20,0)</f>
        <v>0</v>
      </c>
      <c r="AA20" s="51">
        <f>IF(AD20=10,J20,0)</f>
        <v>0</v>
      </c>
      <c r="AB20" s="51">
        <f>IF(AD20=20,J20,0)</f>
        <v>0</v>
      </c>
      <c r="AD20" s="51">
        <v>20</v>
      </c>
      <c r="AE20" s="51">
        <f>G20*0.558198266113833</f>
        <v>0</v>
      </c>
      <c r="AF20" s="51">
        <f>G20*(1-0.558198266113833)</f>
        <v>0</v>
      </c>
    </row>
    <row r="21" spans="1:37" ht="12.75">
      <c r="A21" s="75"/>
      <c r="B21" s="75"/>
      <c r="C21" s="76" t="s">
        <v>78</v>
      </c>
      <c r="D21" s="76" t="s">
        <v>79</v>
      </c>
      <c r="E21" s="76"/>
      <c r="F21" s="76"/>
      <c r="G21" s="76"/>
      <c r="H21" s="73">
        <f>SUM(H22:H26)</f>
        <v>0</v>
      </c>
      <c r="I21" s="73">
        <f>SUM(I22:I26)</f>
        <v>0</v>
      </c>
      <c r="J21" s="73">
        <f>H21+I21</f>
        <v>0</v>
      </c>
      <c r="K21" s="68"/>
      <c r="L21" s="73">
        <f>SUM(L22:L26)</f>
        <v>26.8305016</v>
      </c>
      <c r="P21" s="73">
        <f>IF(Q21="PR",J21,SUM(O22:O26))</f>
        <v>0</v>
      </c>
      <c r="Q21" s="68" t="s">
        <v>158</v>
      </c>
      <c r="R21" s="73">
        <f>IF(Q21="HS",H21,0)</f>
        <v>0</v>
      </c>
      <c r="S21" s="73">
        <f>IF(Q21="HS",I21-P21,0)</f>
        <v>0</v>
      </c>
      <c r="T21" s="73">
        <f>IF(Q21="PS",H21,0)</f>
        <v>0</v>
      </c>
      <c r="U21" s="73">
        <f>IF(Q21="PS",I21-P21,0)</f>
        <v>0</v>
      </c>
      <c r="V21" s="73">
        <f>IF(Q21="MP",H21,0)</f>
        <v>0</v>
      </c>
      <c r="W21" s="73">
        <f>IF(Q21="MP",I21-P21,0)</f>
        <v>0</v>
      </c>
      <c r="X21" s="73">
        <f>IF(Q21="OM",H21,0)</f>
        <v>0</v>
      </c>
      <c r="Y21" s="68"/>
      <c r="AI21" s="73">
        <f>SUM(Z22:Z26)</f>
        <v>0</v>
      </c>
      <c r="AJ21" s="73">
        <f>SUM(AA22:AA26)</f>
        <v>0</v>
      </c>
      <c r="AK21" s="73">
        <f>SUM(AB22:AB26)</f>
        <v>0</v>
      </c>
    </row>
    <row r="22" spans="1:32" ht="12.75">
      <c r="A22" s="10" t="s">
        <v>178</v>
      </c>
      <c r="B22" s="10"/>
      <c r="C22" s="10" t="s">
        <v>179</v>
      </c>
      <c r="D22" s="10" t="s">
        <v>180</v>
      </c>
      <c r="E22" s="10" t="s">
        <v>169</v>
      </c>
      <c r="F22" s="51">
        <v>447.8</v>
      </c>
      <c r="H22" s="51">
        <f>ROUND(F22*AE22,2)</f>
        <v>0</v>
      </c>
      <c r="I22" s="51">
        <f>J22-H22</f>
        <v>0</v>
      </c>
      <c r="J22" s="51">
        <f>ROUND(F22*G22,2)</f>
        <v>0</v>
      </c>
      <c r="K22" s="51">
        <v>0.00333</v>
      </c>
      <c r="L22" s="51">
        <f>F22*K22</f>
        <v>1.491174</v>
      </c>
      <c r="N22" s="74" t="s">
        <v>159</v>
      </c>
      <c r="O22" s="51">
        <f>IF(N22="5",I22,0)</f>
        <v>0</v>
      </c>
      <c r="Z22" s="51">
        <f>IF(AD22=0,J22,0)</f>
        <v>0</v>
      </c>
      <c r="AA22" s="51">
        <f>IF(AD22=10,J22,0)</f>
        <v>0</v>
      </c>
      <c r="AB22" s="51">
        <f>IF(AD22=20,J22,0)</f>
        <v>0</v>
      </c>
      <c r="AD22" s="51">
        <v>20</v>
      </c>
      <c r="AE22" s="51">
        <f>G22*0.327434814665862</f>
        <v>0</v>
      </c>
      <c r="AF22" s="51">
        <f>G22*(1-0.327434814665862)</f>
        <v>0</v>
      </c>
    </row>
    <row r="23" spans="1:32" ht="12.75">
      <c r="A23" s="10" t="s">
        <v>181</v>
      </c>
      <c r="B23" s="10"/>
      <c r="C23" s="10" t="s">
        <v>182</v>
      </c>
      <c r="D23" s="10" t="s">
        <v>183</v>
      </c>
      <c r="E23" s="10" t="s">
        <v>169</v>
      </c>
      <c r="F23" s="51">
        <v>133.74</v>
      </c>
      <c r="H23" s="51">
        <f>ROUND(F23*AE23,2)</f>
        <v>0</v>
      </c>
      <c r="I23" s="51">
        <f>J23-H23</f>
        <v>0</v>
      </c>
      <c r="J23" s="51">
        <f>ROUND(F23*G23,2)</f>
        <v>0</v>
      </c>
      <c r="K23" s="51">
        <v>0.04558</v>
      </c>
      <c r="L23" s="51">
        <f>F23*K23</f>
        <v>6.095869200000001</v>
      </c>
      <c r="N23" s="74" t="s">
        <v>159</v>
      </c>
      <c r="O23" s="51">
        <f>IF(N23="5",I23,0)</f>
        <v>0</v>
      </c>
      <c r="Z23" s="51">
        <f>IF(AD23=0,J23,0)</f>
        <v>0</v>
      </c>
      <c r="AA23" s="51">
        <f>IF(AD23=10,J23,0)</f>
        <v>0</v>
      </c>
      <c r="AB23" s="51">
        <f>IF(AD23=20,J23,0)</f>
        <v>0</v>
      </c>
      <c r="AD23" s="51">
        <v>20</v>
      </c>
      <c r="AE23" s="51">
        <f>G23*0.210795935647756</f>
        <v>0</v>
      </c>
      <c r="AF23" s="51">
        <f>G23*(1-0.210795935647756)</f>
        <v>0</v>
      </c>
    </row>
    <row r="24" spans="1:32" ht="12.75">
      <c r="A24" s="10" t="s">
        <v>184</v>
      </c>
      <c r="B24" s="10"/>
      <c r="C24" s="10" t="s">
        <v>185</v>
      </c>
      <c r="D24" s="10" t="s">
        <v>186</v>
      </c>
      <c r="E24" s="10" t="s">
        <v>169</v>
      </c>
      <c r="F24" s="51">
        <v>848.96</v>
      </c>
      <c r="H24" s="51">
        <f>ROUND(F24*AE24,2)</f>
        <v>0</v>
      </c>
      <c r="I24" s="51">
        <f>J24-H24</f>
        <v>0</v>
      </c>
      <c r="J24" s="51">
        <f>ROUND(F24*G24,2)</f>
        <v>0</v>
      </c>
      <c r="K24" s="51">
        <v>0.0223</v>
      </c>
      <c r="L24" s="51">
        <f>F24*K24</f>
        <v>18.931808</v>
      </c>
      <c r="N24" s="74" t="s">
        <v>159</v>
      </c>
      <c r="O24" s="51">
        <f>IF(N24="5",I24,0)</f>
        <v>0</v>
      </c>
      <c r="Z24" s="51">
        <f>IF(AD24=0,J24,0)</f>
        <v>0</v>
      </c>
      <c r="AA24" s="51">
        <f>IF(AD24=10,J24,0)</f>
        <v>0</v>
      </c>
      <c r="AB24" s="51">
        <f>IF(AD24=20,J24,0)</f>
        <v>0</v>
      </c>
      <c r="AD24" s="51">
        <v>20</v>
      </c>
      <c r="AE24" s="51">
        <f>G24*0.212172239595862</f>
        <v>0</v>
      </c>
      <c r="AF24" s="51">
        <f>G24*(1-0.212172239595862)</f>
        <v>0</v>
      </c>
    </row>
    <row r="25" spans="1:32" ht="12.75">
      <c r="A25" s="10" t="s">
        <v>187</v>
      </c>
      <c r="B25" s="10"/>
      <c r="C25" s="10" t="s">
        <v>188</v>
      </c>
      <c r="D25" s="10" t="s">
        <v>189</v>
      </c>
      <c r="E25" s="10" t="s">
        <v>190</v>
      </c>
      <c r="F25" s="51">
        <v>60.8</v>
      </c>
      <c r="H25" s="51">
        <f>ROUND(F25*AE25,2)</f>
        <v>0</v>
      </c>
      <c r="I25" s="51">
        <f>J25-H25</f>
        <v>0</v>
      </c>
      <c r="J25" s="51">
        <f>ROUND(F25*G25,2)</f>
        <v>0</v>
      </c>
      <c r="K25" s="51">
        <v>0.00046</v>
      </c>
      <c r="L25" s="51">
        <f>F25*K25</f>
        <v>0.027968</v>
      </c>
      <c r="N25" s="74" t="s">
        <v>159</v>
      </c>
      <c r="O25" s="51">
        <f>IF(N25="5",I25,0)</f>
        <v>0</v>
      </c>
      <c r="Z25" s="51">
        <f>IF(AD25=0,J25,0)</f>
        <v>0</v>
      </c>
      <c r="AA25" s="51">
        <f>IF(AD25=10,J25,0)</f>
        <v>0</v>
      </c>
      <c r="AB25" s="51">
        <f>IF(AD25=20,J25,0)</f>
        <v>0</v>
      </c>
      <c r="AD25" s="51">
        <v>20</v>
      </c>
      <c r="AE25" s="51">
        <f>G25*1</f>
        <v>0</v>
      </c>
      <c r="AF25" s="51">
        <f>G25*(1-1)</f>
        <v>0</v>
      </c>
    </row>
    <row r="26" spans="1:32" ht="12.75">
      <c r="A26" s="10" t="s">
        <v>191</v>
      </c>
      <c r="B26" s="10"/>
      <c r="C26" s="10" t="s">
        <v>192</v>
      </c>
      <c r="D26" s="10" t="s">
        <v>193</v>
      </c>
      <c r="E26" s="10" t="s">
        <v>169</v>
      </c>
      <c r="F26" s="51">
        <v>834.36</v>
      </c>
      <c r="H26" s="51">
        <f>ROUND(F26*AE26,2)</f>
        <v>0</v>
      </c>
      <c r="I26" s="51">
        <f>J26-H26</f>
        <v>0</v>
      </c>
      <c r="J26" s="51">
        <f>ROUND(F26*G26,2)</f>
        <v>0</v>
      </c>
      <c r="K26" s="51">
        <v>0.00034</v>
      </c>
      <c r="L26" s="51">
        <f>F26*K26</f>
        <v>0.2836824</v>
      </c>
      <c r="N26" s="74" t="s">
        <v>159</v>
      </c>
      <c r="O26" s="51">
        <f>IF(N26="5",I26,0)</f>
        <v>0</v>
      </c>
      <c r="Z26" s="51">
        <f>IF(AD26=0,J26,0)</f>
        <v>0</v>
      </c>
      <c r="AA26" s="51">
        <f>IF(AD26=10,J26,0)</f>
        <v>0</v>
      </c>
      <c r="AB26" s="51">
        <f>IF(AD26=20,J26,0)</f>
        <v>0</v>
      </c>
      <c r="AD26" s="51">
        <v>20</v>
      </c>
      <c r="AE26" s="51">
        <f>G26*0.256040695209835</f>
        <v>0</v>
      </c>
      <c r="AF26" s="51">
        <f>G26*(1-0.256040695209835)</f>
        <v>0</v>
      </c>
    </row>
    <row r="27" spans="1:37" ht="12.75">
      <c r="A27" s="75"/>
      <c r="B27" s="75"/>
      <c r="C27" s="76" t="s">
        <v>80</v>
      </c>
      <c r="D27" s="76" t="s">
        <v>81</v>
      </c>
      <c r="E27" s="76"/>
      <c r="F27" s="76"/>
      <c r="G27" s="76"/>
      <c r="H27" s="73">
        <f>SUM(H28:H28)</f>
        <v>0</v>
      </c>
      <c r="I27" s="73">
        <f>SUM(I28:I28)</f>
        <v>0</v>
      </c>
      <c r="J27" s="73">
        <f>H27+I27</f>
        <v>0</v>
      </c>
      <c r="K27" s="68"/>
      <c r="L27" s="73">
        <f>SUM(L28:L28)</f>
        <v>0.1612476</v>
      </c>
      <c r="P27" s="73">
        <f>IF(Q27="PR",J27,SUM(O28:O28))</f>
        <v>0</v>
      </c>
      <c r="Q27" s="68" t="s">
        <v>158</v>
      </c>
      <c r="R27" s="73">
        <f>IF(Q27="HS",H27,0)</f>
        <v>0</v>
      </c>
      <c r="S27" s="73">
        <f>IF(Q27="HS",I27-P27,0)</f>
        <v>0</v>
      </c>
      <c r="T27" s="73">
        <f>IF(Q27="PS",H27,0)</f>
        <v>0</v>
      </c>
      <c r="U27" s="73">
        <f>IF(Q27="PS",I27-P27,0)</f>
        <v>0</v>
      </c>
      <c r="V27" s="73">
        <f>IF(Q27="MP",H27,0)</f>
        <v>0</v>
      </c>
      <c r="W27" s="73">
        <f>IF(Q27="MP",I27-P27,0)</f>
        <v>0</v>
      </c>
      <c r="X27" s="73">
        <f>IF(Q27="OM",H27,0)</f>
        <v>0</v>
      </c>
      <c r="Y27" s="68"/>
      <c r="AI27" s="73">
        <f>SUM(Z28:Z28)</f>
        <v>0</v>
      </c>
      <c r="AJ27" s="73">
        <f>SUM(AA28:AA28)</f>
        <v>0</v>
      </c>
      <c r="AK27" s="73">
        <f>SUM(AB28:AB28)</f>
        <v>0</v>
      </c>
    </row>
    <row r="28" spans="1:32" ht="12.75">
      <c r="A28" s="10" t="s">
        <v>194</v>
      </c>
      <c r="B28" s="10"/>
      <c r="C28" s="10" t="s">
        <v>195</v>
      </c>
      <c r="D28" s="10" t="s">
        <v>196</v>
      </c>
      <c r="E28" s="10" t="s">
        <v>169</v>
      </c>
      <c r="F28" s="51">
        <v>343.08</v>
      </c>
      <c r="H28" s="51">
        <f>ROUND(F28*AE28,2)</f>
        <v>0</v>
      </c>
      <c r="I28" s="51">
        <f>J28-H28</f>
        <v>0</v>
      </c>
      <c r="J28" s="51">
        <f>ROUND(F28*G28,2)</f>
        <v>0</v>
      </c>
      <c r="K28" s="51">
        <v>0.00047</v>
      </c>
      <c r="L28" s="51">
        <f>F28*K28</f>
        <v>0.1612476</v>
      </c>
      <c r="N28" s="74" t="s">
        <v>159</v>
      </c>
      <c r="O28" s="51">
        <f>IF(N28="5",I28,0)</f>
        <v>0</v>
      </c>
      <c r="Z28" s="51">
        <f>IF(AD28=0,J28,0)</f>
        <v>0</v>
      </c>
      <c r="AA28" s="51">
        <f>IF(AD28=10,J28,0)</f>
        <v>0</v>
      </c>
      <c r="AB28" s="51">
        <f>IF(AD28=20,J28,0)</f>
        <v>0</v>
      </c>
      <c r="AD28" s="51">
        <v>20</v>
      </c>
      <c r="AE28" s="51">
        <f>G28*0.463639891346527</f>
        <v>0</v>
      </c>
      <c r="AF28" s="51">
        <f>G28*(1-0.463639891346527)</f>
        <v>0</v>
      </c>
    </row>
    <row r="29" spans="1:37" ht="12.75">
      <c r="A29" s="75"/>
      <c r="B29" s="75"/>
      <c r="C29" s="76" t="s">
        <v>82</v>
      </c>
      <c r="D29" s="76" t="s">
        <v>83</v>
      </c>
      <c r="E29" s="76"/>
      <c r="F29" s="76"/>
      <c r="G29" s="76"/>
      <c r="H29" s="73">
        <f>SUM(H30:H33)</f>
        <v>0</v>
      </c>
      <c r="I29" s="73">
        <f>SUM(I30:I33)</f>
        <v>0</v>
      </c>
      <c r="J29" s="73">
        <f>H29+I29</f>
        <v>0</v>
      </c>
      <c r="K29" s="68"/>
      <c r="L29" s="73">
        <f>SUM(L30:L33)</f>
        <v>16.6875858</v>
      </c>
      <c r="P29" s="73">
        <f>IF(Q29="PR",J29,SUM(O30:O33))</f>
        <v>0</v>
      </c>
      <c r="Q29" s="68" t="s">
        <v>158</v>
      </c>
      <c r="R29" s="73">
        <f>IF(Q29="HS",H29,0)</f>
        <v>0</v>
      </c>
      <c r="S29" s="73">
        <f>IF(Q29="HS",I29-P29,0)</f>
        <v>0</v>
      </c>
      <c r="T29" s="73">
        <f>IF(Q29="PS",H29,0)</f>
        <v>0</v>
      </c>
      <c r="U29" s="73">
        <f>IF(Q29="PS",I29-P29,0)</f>
        <v>0</v>
      </c>
      <c r="V29" s="73">
        <f>IF(Q29="MP",H29,0)</f>
        <v>0</v>
      </c>
      <c r="W29" s="73">
        <f>IF(Q29="MP",I29-P29,0)</f>
        <v>0</v>
      </c>
      <c r="X29" s="73">
        <f>IF(Q29="OM",H29,0)</f>
        <v>0</v>
      </c>
      <c r="Y29" s="68"/>
      <c r="AI29" s="73">
        <f>SUM(Z30:Z33)</f>
        <v>0</v>
      </c>
      <c r="AJ29" s="73">
        <f>SUM(AA30:AA33)</f>
        <v>0</v>
      </c>
      <c r="AK29" s="73">
        <f>SUM(AB30:AB33)</f>
        <v>0</v>
      </c>
    </row>
    <row r="30" spans="1:32" ht="12.75">
      <c r="A30" s="10" t="s">
        <v>197</v>
      </c>
      <c r="B30" s="10"/>
      <c r="C30" s="10" t="s">
        <v>198</v>
      </c>
      <c r="D30" s="10" t="s">
        <v>199</v>
      </c>
      <c r="E30" s="10" t="s">
        <v>169</v>
      </c>
      <c r="F30" s="51">
        <v>20.2</v>
      </c>
      <c r="H30" s="51">
        <f>ROUND(F30*AE30,2)</f>
        <v>0</v>
      </c>
      <c r="I30" s="51">
        <f>J30-H30</f>
        <v>0</v>
      </c>
      <c r="J30" s="51">
        <f>ROUND(F30*G30,2)</f>
        <v>0</v>
      </c>
      <c r="K30" s="51">
        <v>0.096</v>
      </c>
      <c r="L30" s="51">
        <f>F30*K30</f>
        <v>1.9392</v>
      </c>
      <c r="N30" s="74" t="s">
        <v>200</v>
      </c>
      <c r="O30" s="51">
        <f>IF(N30="5",I30,0)</f>
        <v>0</v>
      </c>
      <c r="Z30" s="51">
        <f>IF(AD30=0,J30,0)</f>
        <v>0</v>
      </c>
      <c r="AA30" s="51">
        <f>IF(AD30=10,J30,0)</f>
        <v>0</v>
      </c>
      <c r="AB30" s="51">
        <f>IF(AD30=20,J30,0)</f>
        <v>0</v>
      </c>
      <c r="AD30" s="51">
        <v>20</v>
      </c>
      <c r="AE30" s="51">
        <f>G30*1</f>
        <v>0</v>
      </c>
      <c r="AF30" s="51">
        <f>G30*(1-1)</f>
        <v>0</v>
      </c>
    </row>
    <row r="31" spans="1:32" ht="12.75">
      <c r="A31" s="10" t="s">
        <v>201</v>
      </c>
      <c r="B31" s="10"/>
      <c r="C31" s="10" t="s">
        <v>202</v>
      </c>
      <c r="D31" s="10" t="s">
        <v>203</v>
      </c>
      <c r="E31" s="10" t="s">
        <v>169</v>
      </c>
      <c r="F31" s="51">
        <v>52.29</v>
      </c>
      <c r="H31" s="51">
        <f>ROUND(F31*AE31,2)</f>
        <v>0</v>
      </c>
      <c r="I31" s="51">
        <f>J31-H31</f>
        <v>0</v>
      </c>
      <c r="J31" s="51">
        <f>ROUND(F31*G31,2)</f>
        <v>0</v>
      </c>
      <c r="K31" s="51">
        <v>0.27827</v>
      </c>
      <c r="L31" s="51">
        <f>F31*K31</f>
        <v>14.5507383</v>
      </c>
      <c r="N31" s="74" t="s">
        <v>159</v>
      </c>
      <c r="O31" s="51">
        <f>IF(N31="5",I31,0)</f>
        <v>0</v>
      </c>
      <c r="Z31" s="51">
        <f>IF(AD31=0,J31,0)</f>
        <v>0</v>
      </c>
      <c r="AA31" s="51">
        <f>IF(AD31=10,J31,0)</f>
        <v>0</v>
      </c>
      <c r="AB31" s="51">
        <f>IF(AD31=20,J31,0)</f>
        <v>0</v>
      </c>
      <c r="AD31" s="51">
        <v>20</v>
      </c>
      <c r="AE31" s="51">
        <f>G31*0.763255494505494</f>
        <v>0</v>
      </c>
      <c r="AF31" s="51">
        <f>G31*(1-0.763255494505494)</f>
        <v>0</v>
      </c>
    </row>
    <row r="32" spans="1:32" ht="12.75">
      <c r="A32" s="10" t="s">
        <v>204</v>
      </c>
      <c r="B32" s="10"/>
      <c r="C32" s="10" t="s">
        <v>205</v>
      </c>
      <c r="D32" s="10" t="s">
        <v>206</v>
      </c>
      <c r="E32" s="10" t="s">
        <v>169</v>
      </c>
      <c r="F32" s="51">
        <v>70.25</v>
      </c>
      <c r="H32" s="51">
        <f>ROUND(F32*AE32,2)</f>
        <v>0</v>
      </c>
      <c r="I32" s="51">
        <f>J32-H32</f>
        <v>0</v>
      </c>
      <c r="J32" s="51">
        <f>ROUND(F32*G32,2)</f>
        <v>0</v>
      </c>
      <c r="K32" s="51">
        <v>0.00219</v>
      </c>
      <c r="L32" s="51">
        <f>F32*K32</f>
        <v>0.1538475</v>
      </c>
      <c r="N32" s="74" t="s">
        <v>159</v>
      </c>
      <c r="O32" s="51">
        <f>IF(N32="5",I32,0)</f>
        <v>0</v>
      </c>
      <c r="Z32" s="51">
        <f>IF(AD32=0,J32,0)</f>
        <v>0</v>
      </c>
      <c r="AA32" s="51">
        <f>IF(AD32=10,J32,0)</f>
        <v>0</v>
      </c>
      <c r="AB32" s="51">
        <f>IF(AD32=20,J32,0)</f>
        <v>0</v>
      </c>
      <c r="AD32" s="51">
        <v>20</v>
      </c>
      <c r="AE32" s="51">
        <f>G32*0.544821799736847</f>
        <v>0</v>
      </c>
      <c r="AF32" s="51">
        <f>G32*(1-0.544821799736847)</f>
        <v>0</v>
      </c>
    </row>
    <row r="33" spans="1:32" ht="12.75">
      <c r="A33" s="10" t="s">
        <v>207</v>
      </c>
      <c r="B33" s="10"/>
      <c r="C33" s="10" t="s">
        <v>205</v>
      </c>
      <c r="D33" s="10" t="s">
        <v>208</v>
      </c>
      <c r="E33" s="10" t="s">
        <v>169</v>
      </c>
      <c r="F33" s="51">
        <v>20</v>
      </c>
      <c r="H33" s="51">
        <f>ROUND(F33*AE33,2)</f>
        <v>0</v>
      </c>
      <c r="I33" s="51">
        <f>J33-H33</f>
        <v>0</v>
      </c>
      <c r="J33" s="51">
        <f>ROUND(F33*G33,2)</f>
        <v>0</v>
      </c>
      <c r="K33" s="51">
        <v>0.00219</v>
      </c>
      <c r="L33" s="51">
        <f>F33*K33</f>
        <v>0.043800000000000006</v>
      </c>
      <c r="N33" s="74" t="s">
        <v>159</v>
      </c>
      <c r="O33" s="51">
        <f>IF(N33="5",I33,0)</f>
        <v>0</v>
      </c>
      <c r="Z33" s="51">
        <f>IF(AD33=0,J33,0)</f>
        <v>0</v>
      </c>
      <c r="AA33" s="51">
        <f>IF(AD33=10,J33,0)</f>
        <v>0</v>
      </c>
      <c r="AB33" s="51">
        <f>IF(AD33=20,J33,0)</f>
        <v>0</v>
      </c>
      <c r="AD33" s="51">
        <v>20</v>
      </c>
      <c r="AE33" s="51">
        <f>G33*0.546002522068096</f>
        <v>0</v>
      </c>
      <c r="AF33" s="51">
        <f>G33*(1-0.546002522068096)</f>
        <v>0</v>
      </c>
    </row>
    <row r="34" spans="1:37" ht="12.75">
      <c r="A34" s="75"/>
      <c r="B34" s="75"/>
      <c r="C34" s="76" t="s">
        <v>84</v>
      </c>
      <c r="D34" s="76" t="s">
        <v>85</v>
      </c>
      <c r="E34" s="76"/>
      <c r="F34" s="76"/>
      <c r="G34" s="76"/>
      <c r="H34" s="73">
        <f>SUM(H35:H39)</f>
        <v>0</v>
      </c>
      <c r="I34" s="73">
        <f>SUM(I35:I39)</f>
        <v>0</v>
      </c>
      <c r="J34" s="73">
        <f>H34+I34</f>
        <v>0</v>
      </c>
      <c r="K34" s="68"/>
      <c r="L34" s="73">
        <f>SUM(L35:L39)</f>
        <v>1.1447692</v>
      </c>
      <c r="P34" s="73">
        <f>IF(Q34="PR",J34,SUM(O35:O39))</f>
        <v>0</v>
      </c>
      <c r="Q34" s="68" t="s">
        <v>158</v>
      </c>
      <c r="R34" s="73">
        <f>IF(Q34="HS",H34,0)</f>
        <v>0</v>
      </c>
      <c r="S34" s="73">
        <f>IF(Q34="HS",I34-P34,0)</f>
        <v>0</v>
      </c>
      <c r="T34" s="73">
        <f>IF(Q34="PS",H34,0)</f>
        <v>0</v>
      </c>
      <c r="U34" s="73">
        <f>IF(Q34="PS",I34-P34,0)</f>
        <v>0</v>
      </c>
      <c r="V34" s="73">
        <f>IF(Q34="MP",H34,0)</f>
        <v>0</v>
      </c>
      <c r="W34" s="73">
        <f>IF(Q34="MP",I34-P34,0)</f>
        <v>0</v>
      </c>
      <c r="X34" s="73">
        <f>IF(Q34="OM",H34,0)</f>
        <v>0</v>
      </c>
      <c r="Y34" s="68"/>
      <c r="AI34" s="73">
        <f>SUM(Z35:Z39)</f>
        <v>0</v>
      </c>
      <c r="AJ34" s="73">
        <f>SUM(AA35:AA39)</f>
        <v>0</v>
      </c>
      <c r="AK34" s="73">
        <f>SUM(AB35:AB39)</f>
        <v>0</v>
      </c>
    </row>
    <row r="35" spans="1:32" ht="12.75">
      <c r="A35" s="10" t="s">
        <v>209</v>
      </c>
      <c r="B35" s="10"/>
      <c r="C35" s="10" t="s">
        <v>210</v>
      </c>
      <c r="D35" s="10" t="s">
        <v>211</v>
      </c>
      <c r="E35" s="10" t="s">
        <v>162</v>
      </c>
      <c r="F35" s="51">
        <v>2</v>
      </c>
      <c r="H35" s="51">
        <f>ROUND(F35*AE35,2)</f>
        <v>0</v>
      </c>
      <c r="I35" s="51">
        <f>J35-H35</f>
        <v>0</v>
      </c>
      <c r="J35" s="51">
        <f>ROUND(F35*G35,2)</f>
        <v>0</v>
      </c>
      <c r="K35" s="51">
        <v>0.03021</v>
      </c>
      <c r="L35" s="51">
        <f>F35*K35</f>
        <v>0.06042</v>
      </c>
      <c r="N35" s="74" t="s">
        <v>159</v>
      </c>
      <c r="O35" s="51">
        <f>IF(N35="5",I35,0)</f>
        <v>0</v>
      </c>
      <c r="Z35" s="51">
        <f>IF(AD35=0,J35,0)</f>
        <v>0</v>
      </c>
      <c r="AA35" s="51">
        <f>IF(AD35=10,J35,0)</f>
        <v>0</v>
      </c>
      <c r="AB35" s="51">
        <f>IF(AD35=20,J35,0)</f>
        <v>0</v>
      </c>
      <c r="AD35" s="51">
        <v>20</v>
      </c>
      <c r="AE35" s="51">
        <f>G35*0.519987016553894</f>
        <v>0</v>
      </c>
      <c r="AF35" s="51">
        <f>G35*(1-0.519987016553894)</f>
        <v>0</v>
      </c>
    </row>
    <row r="36" spans="1:32" ht="12.75">
      <c r="A36" s="10" t="s">
        <v>212</v>
      </c>
      <c r="B36" s="10"/>
      <c r="C36" s="10" t="s">
        <v>213</v>
      </c>
      <c r="D36" s="10" t="s">
        <v>211</v>
      </c>
      <c r="E36" s="10" t="s">
        <v>162</v>
      </c>
      <c r="F36" s="51">
        <v>7</v>
      </c>
      <c r="H36" s="51">
        <f>ROUND(F36*AE36,2)</f>
        <v>0</v>
      </c>
      <c r="I36" s="51">
        <f>J36-H36</f>
        <v>0</v>
      </c>
      <c r="J36" s="51">
        <f>ROUND(F36*G36,2)</f>
        <v>0</v>
      </c>
      <c r="K36" s="51">
        <v>0.03049</v>
      </c>
      <c r="L36" s="51">
        <f>F36*K36</f>
        <v>0.21343</v>
      </c>
      <c r="N36" s="74" t="s">
        <v>159</v>
      </c>
      <c r="O36" s="51">
        <f>IF(N36="5",I36,0)</f>
        <v>0</v>
      </c>
      <c r="Z36" s="51">
        <f>IF(AD36=0,J36,0)</f>
        <v>0</v>
      </c>
      <c r="AA36" s="51">
        <f>IF(AD36=10,J36,0)</f>
        <v>0</v>
      </c>
      <c r="AB36" s="51">
        <f>IF(AD36=20,J36,0)</f>
        <v>0</v>
      </c>
      <c r="AD36" s="51">
        <v>20</v>
      </c>
      <c r="AE36" s="51">
        <f>G36*0.524616107415741</f>
        <v>0</v>
      </c>
      <c r="AF36" s="51">
        <f>G36*(1-0.524616107415741)</f>
        <v>0</v>
      </c>
    </row>
    <row r="37" spans="1:32" ht="12.75">
      <c r="A37" s="10" t="s">
        <v>214</v>
      </c>
      <c r="B37" s="10"/>
      <c r="C37" s="10" t="s">
        <v>215</v>
      </c>
      <c r="D37" s="10" t="s">
        <v>211</v>
      </c>
      <c r="E37" s="10" t="s">
        <v>162</v>
      </c>
      <c r="F37" s="51">
        <v>9</v>
      </c>
      <c r="H37" s="51">
        <f>ROUND(F37*AE37,2)</f>
        <v>0</v>
      </c>
      <c r="I37" s="51">
        <f>J37-H37</f>
        <v>0</v>
      </c>
      <c r="J37" s="51">
        <f>ROUND(F37*G37,2)</f>
        <v>0</v>
      </c>
      <c r="K37" s="51">
        <v>0.03077</v>
      </c>
      <c r="L37" s="51">
        <f>F37*K37</f>
        <v>0.27693</v>
      </c>
      <c r="N37" s="74" t="s">
        <v>159</v>
      </c>
      <c r="O37" s="51">
        <f>IF(N37="5",I37,0)</f>
        <v>0</v>
      </c>
      <c r="Z37" s="51">
        <f>IF(AD37=0,J37,0)</f>
        <v>0</v>
      </c>
      <c r="AA37" s="51">
        <f>IF(AD37=10,J37,0)</f>
        <v>0</v>
      </c>
      <c r="AB37" s="51">
        <f>IF(AD37=20,J37,0)</f>
        <v>0</v>
      </c>
      <c r="AD37" s="51">
        <v>20</v>
      </c>
      <c r="AE37" s="51">
        <f>G37*0.529567699836868</f>
        <v>0</v>
      </c>
      <c r="AF37" s="51">
        <f>G37*(1-0.529567699836868)</f>
        <v>0</v>
      </c>
    </row>
    <row r="38" spans="1:32" ht="12.75">
      <c r="A38" s="10" t="s">
        <v>216</v>
      </c>
      <c r="B38" s="10"/>
      <c r="C38" s="10" t="s">
        <v>217</v>
      </c>
      <c r="D38" s="10" t="s">
        <v>211</v>
      </c>
      <c r="E38" s="10" t="s">
        <v>162</v>
      </c>
      <c r="F38" s="51">
        <v>7</v>
      </c>
      <c r="H38" s="51">
        <f>ROUND(F38*AE38,2)</f>
        <v>0</v>
      </c>
      <c r="I38" s="51">
        <f>J38-H38</f>
        <v>0</v>
      </c>
      <c r="J38" s="51">
        <f>ROUND(F38*G38,2)</f>
        <v>0</v>
      </c>
      <c r="K38" s="51">
        <v>0.03105</v>
      </c>
      <c r="L38" s="51">
        <f>F38*K38</f>
        <v>0.21735000000000002</v>
      </c>
      <c r="N38" s="74" t="s">
        <v>159</v>
      </c>
      <c r="O38" s="51">
        <f>IF(N38="5",I38,0)</f>
        <v>0</v>
      </c>
      <c r="Z38" s="51">
        <f>IF(AD38=0,J38,0)</f>
        <v>0</v>
      </c>
      <c r="AA38" s="51">
        <f>IF(AD38=10,J38,0)</f>
        <v>0</v>
      </c>
      <c r="AB38" s="51">
        <f>IF(AD38=20,J38,0)</f>
        <v>0</v>
      </c>
      <c r="AD38" s="51">
        <v>20</v>
      </c>
      <c r="AE38" s="51">
        <f>G38*0.53321139231286</f>
        <v>0</v>
      </c>
      <c r="AF38" s="51">
        <f>G38*(1-0.53321139231286)</f>
        <v>0</v>
      </c>
    </row>
    <row r="39" spans="1:32" ht="12.75">
      <c r="A39" s="10" t="s">
        <v>218</v>
      </c>
      <c r="B39" s="10"/>
      <c r="C39" s="10" t="s">
        <v>219</v>
      </c>
      <c r="D39" s="10" t="s">
        <v>220</v>
      </c>
      <c r="E39" s="10" t="s">
        <v>190</v>
      </c>
      <c r="F39" s="51">
        <v>33.84</v>
      </c>
      <c r="H39" s="51">
        <f>ROUND(F39*AE39,2)</f>
        <v>0</v>
      </c>
      <c r="I39" s="51">
        <f>J39-H39</f>
        <v>0</v>
      </c>
      <c r="J39" s="51">
        <f>ROUND(F39*G39,2)</f>
        <v>0</v>
      </c>
      <c r="K39" s="51">
        <v>0.01113</v>
      </c>
      <c r="L39" s="51">
        <f>F39*K39</f>
        <v>0.3766392</v>
      </c>
      <c r="N39" s="74" t="s">
        <v>159</v>
      </c>
      <c r="O39" s="51">
        <f>IF(N39="5",I39,0)</f>
        <v>0</v>
      </c>
      <c r="Z39" s="51">
        <f>IF(AD39=0,J39,0)</f>
        <v>0</v>
      </c>
      <c r="AA39" s="51">
        <f>IF(AD39=10,J39,0)</f>
        <v>0</v>
      </c>
      <c r="AB39" s="51">
        <f>IF(AD39=20,J39,0)</f>
        <v>0</v>
      </c>
      <c r="AD39" s="51">
        <v>20</v>
      </c>
      <c r="AE39" s="51">
        <f>G39*0.737809107782298</f>
        <v>0</v>
      </c>
      <c r="AF39" s="51">
        <f>G39*(1-0.737809107782298)</f>
        <v>0</v>
      </c>
    </row>
    <row r="40" spans="1:37" ht="12.75">
      <c r="A40" s="75"/>
      <c r="B40" s="75"/>
      <c r="C40" s="76" t="s">
        <v>86</v>
      </c>
      <c r="D40" s="76" t="s">
        <v>87</v>
      </c>
      <c r="E40" s="76"/>
      <c r="F40" s="76"/>
      <c r="G40" s="76"/>
      <c r="H40" s="73">
        <f>SUM(H41:H43)</f>
        <v>0</v>
      </c>
      <c r="I40" s="73">
        <f>SUM(I41:I43)</f>
        <v>0</v>
      </c>
      <c r="J40" s="73">
        <f>H40+I40</f>
        <v>0</v>
      </c>
      <c r="K40" s="68"/>
      <c r="L40" s="73">
        <f>SUM(L41:L43)</f>
        <v>0.08128</v>
      </c>
      <c r="P40" s="73">
        <f>IF(Q40="PR",J40,SUM(O41:O43))</f>
        <v>0</v>
      </c>
      <c r="Q40" s="68" t="s">
        <v>221</v>
      </c>
      <c r="R40" s="73">
        <f>IF(Q40="HS",H40,0)</f>
        <v>0</v>
      </c>
      <c r="S40" s="73">
        <f>IF(Q40="HS",I40-P40,0)</f>
        <v>0</v>
      </c>
      <c r="T40" s="73">
        <f>IF(Q40="PS",H40,0)</f>
        <v>0</v>
      </c>
      <c r="U40" s="73">
        <f>IF(Q40="PS",I40-P40,0)</f>
        <v>0</v>
      </c>
      <c r="V40" s="73">
        <f>IF(Q40="MP",H40,0)</f>
        <v>0</v>
      </c>
      <c r="W40" s="73">
        <f>IF(Q40="MP",I40-P40,0)</f>
        <v>0</v>
      </c>
      <c r="X40" s="73">
        <f>IF(Q40="OM",H40,0)</f>
        <v>0</v>
      </c>
      <c r="Y40" s="68"/>
      <c r="AI40" s="73">
        <f>SUM(Z41:Z43)</f>
        <v>0</v>
      </c>
      <c r="AJ40" s="73">
        <f>SUM(AA41:AA43)</f>
        <v>0</v>
      </c>
      <c r="AK40" s="73">
        <f>SUM(AB41:AB43)</f>
        <v>0</v>
      </c>
    </row>
    <row r="41" spans="1:32" ht="12.75">
      <c r="A41" s="10" t="s">
        <v>222</v>
      </c>
      <c r="B41" s="10"/>
      <c r="C41" s="10" t="s">
        <v>223</v>
      </c>
      <c r="D41" s="10" t="s">
        <v>224</v>
      </c>
      <c r="E41" s="10" t="s">
        <v>169</v>
      </c>
      <c r="F41" s="51">
        <v>25.92</v>
      </c>
      <c r="H41" s="51">
        <f>ROUND(F41*AE41,2)</f>
        <v>0</v>
      </c>
      <c r="I41" s="51">
        <f>J41-H41</f>
        <v>0</v>
      </c>
      <c r="J41" s="51">
        <f>ROUND(F41*G41,2)</f>
        <v>0</v>
      </c>
      <c r="K41" s="51">
        <v>0.0015</v>
      </c>
      <c r="L41" s="51">
        <f>F41*K41</f>
        <v>0.038880000000000005</v>
      </c>
      <c r="N41" s="74" t="s">
        <v>159</v>
      </c>
      <c r="O41" s="51">
        <f>IF(N41="5",I41,0)</f>
        <v>0</v>
      </c>
      <c r="Z41" s="51">
        <f>IF(AD41=0,J41,0)</f>
        <v>0</v>
      </c>
      <c r="AA41" s="51">
        <f>IF(AD41=10,J41,0)</f>
        <v>0</v>
      </c>
      <c r="AB41" s="51">
        <f>IF(AD41=20,J41,0)</f>
        <v>0</v>
      </c>
      <c r="AD41" s="51">
        <v>20</v>
      </c>
      <c r="AE41" s="51">
        <f>G41*0.645311218445275</f>
        <v>0</v>
      </c>
      <c r="AF41" s="51">
        <f>G41*(1-0.645311218445275)</f>
        <v>0</v>
      </c>
    </row>
    <row r="42" spans="1:32" ht="12.75">
      <c r="A42" s="10" t="s">
        <v>225</v>
      </c>
      <c r="B42" s="10"/>
      <c r="C42" s="10" t="s">
        <v>226</v>
      </c>
      <c r="D42" s="10" t="s">
        <v>227</v>
      </c>
      <c r="E42" s="10" t="s">
        <v>169</v>
      </c>
      <c r="F42" s="51">
        <v>20</v>
      </c>
      <c r="H42" s="51">
        <f>ROUND(F42*AE42,2)</f>
        <v>0</v>
      </c>
      <c r="I42" s="51">
        <f>J42-H42</f>
        <v>0</v>
      </c>
      <c r="J42" s="51">
        <f>ROUND(F42*G42,2)</f>
        <v>0</v>
      </c>
      <c r="K42" s="51">
        <v>0.00212</v>
      </c>
      <c r="L42" s="51">
        <f>F42*K42</f>
        <v>0.0424</v>
      </c>
      <c r="N42" s="74" t="s">
        <v>159</v>
      </c>
      <c r="O42" s="51">
        <f>IF(N42="5",I42,0)</f>
        <v>0</v>
      </c>
      <c r="Z42" s="51">
        <f>IF(AD42=0,J42,0)</f>
        <v>0</v>
      </c>
      <c r="AA42" s="51">
        <f>IF(AD42=10,J42,0)</f>
        <v>0</v>
      </c>
      <c r="AB42" s="51">
        <f>IF(AD42=20,J42,0)</f>
        <v>0</v>
      </c>
      <c r="AD42" s="51">
        <v>20</v>
      </c>
      <c r="AE42" s="51">
        <f>G42*0.594018744076661</f>
        <v>0</v>
      </c>
      <c r="AF42" s="51">
        <f>G42*(1-0.594018744076661)</f>
        <v>0</v>
      </c>
    </row>
    <row r="43" spans="1:32" ht="12.75">
      <c r="A43" s="10" t="s">
        <v>228</v>
      </c>
      <c r="B43" s="10"/>
      <c r="C43" s="10" t="s">
        <v>229</v>
      </c>
      <c r="D43" s="10" t="s">
        <v>230</v>
      </c>
      <c r="E43" s="10" t="s">
        <v>231</v>
      </c>
      <c r="F43" s="51">
        <v>113.86</v>
      </c>
      <c r="H43" s="51">
        <f>ROUND(F43*AE43,2)</f>
        <v>0</v>
      </c>
      <c r="I43" s="51">
        <f>J43-H43</f>
        <v>0</v>
      </c>
      <c r="J43" s="51">
        <f>ROUND(F43*G43,2)</f>
        <v>0</v>
      </c>
      <c r="K43" s="51">
        <v>0</v>
      </c>
      <c r="L43" s="51">
        <f>F43*K43</f>
        <v>0</v>
      </c>
      <c r="N43" s="74" t="s">
        <v>173</v>
      </c>
      <c r="O43" s="51">
        <f>IF(N43="5",I43,0)</f>
        <v>0</v>
      </c>
      <c r="Z43" s="51">
        <f>IF(AD43=0,J43,0)</f>
        <v>0</v>
      </c>
      <c r="AA43" s="51">
        <f>IF(AD43=10,J43,0)</f>
        <v>0</v>
      </c>
      <c r="AB43" s="51">
        <f>IF(AD43=20,J43,0)</f>
        <v>0</v>
      </c>
      <c r="AD43" s="51">
        <v>20</v>
      </c>
      <c r="AE43" s="51">
        <f>G43*0</f>
        <v>0</v>
      </c>
      <c r="AF43" s="51">
        <f>G43*(1-0)</f>
        <v>0</v>
      </c>
    </row>
    <row r="44" spans="1:37" ht="12.75">
      <c r="A44" s="75"/>
      <c r="B44" s="75"/>
      <c r="C44" s="76" t="s">
        <v>88</v>
      </c>
      <c r="D44" s="76" t="s">
        <v>89</v>
      </c>
      <c r="E44" s="76"/>
      <c r="F44" s="76"/>
      <c r="G44" s="76"/>
      <c r="H44" s="73">
        <f>SUM(H45:H51)</f>
        <v>0</v>
      </c>
      <c r="I44" s="73">
        <f>SUM(I45:I51)</f>
        <v>0</v>
      </c>
      <c r="J44" s="73">
        <f>H44+I44</f>
        <v>0</v>
      </c>
      <c r="K44" s="68"/>
      <c r="L44" s="73">
        <f>SUM(L45:L51)</f>
        <v>14.7995148</v>
      </c>
      <c r="P44" s="73">
        <f>IF(Q44="PR",J44,SUM(O45:O51))</f>
        <v>0</v>
      </c>
      <c r="Q44" s="68" t="s">
        <v>221</v>
      </c>
      <c r="R44" s="73">
        <f>IF(Q44="HS",H44,0)</f>
        <v>0</v>
      </c>
      <c r="S44" s="73">
        <f>IF(Q44="HS",I44-P44,0)</f>
        <v>0</v>
      </c>
      <c r="T44" s="73">
        <f>IF(Q44="PS",H44,0)</f>
        <v>0</v>
      </c>
      <c r="U44" s="73">
        <f>IF(Q44="PS",I44-P44,0)</f>
        <v>0</v>
      </c>
      <c r="V44" s="73">
        <f>IF(Q44="MP",H44,0)</f>
        <v>0</v>
      </c>
      <c r="W44" s="73">
        <f>IF(Q44="MP",I44-P44,0)</f>
        <v>0</v>
      </c>
      <c r="X44" s="73">
        <f>IF(Q44="OM",H44,0)</f>
        <v>0</v>
      </c>
      <c r="Y44" s="68"/>
      <c r="AI44" s="73">
        <f>SUM(Z45:Z51)</f>
        <v>0</v>
      </c>
      <c r="AJ44" s="73">
        <f>SUM(AA45:AA51)</f>
        <v>0</v>
      </c>
      <c r="AK44" s="73">
        <f>SUM(AB45:AB51)</f>
        <v>0</v>
      </c>
    </row>
    <row r="45" spans="1:32" ht="12.75">
      <c r="A45" s="10" t="s">
        <v>232</v>
      </c>
      <c r="B45" s="10"/>
      <c r="C45" s="10" t="s">
        <v>233</v>
      </c>
      <c r="D45" s="10" t="s">
        <v>234</v>
      </c>
      <c r="E45" s="10" t="s">
        <v>169</v>
      </c>
      <c r="F45" s="51">
        <v>691.45</v>
      </c>
      <c r="H45" s="51">
        <f>ROUND(F45*AE45,2)</f>
        <v>0</v>
      </c>
      <c r="I45" s="51">
        <f>J45-H45</f>
        <v>0</v>
      </c>
      <c r="J45" s="51">
        <f>ROUND(F45*G45,2)</f>
        <v>0</v>
      </c>
      <c r="K45" s="51">
        <v>0.012</v>
      </c>
      <c r="L45" s="51">
        <f>F45*K45</f>
        <v>8.297400000000001</v>
      </c>
      <c r="N45" s="74" t="s">
        <v>200</v>
      </c>
      <c r="O45" s="51">
        <f>IF(N45="5",I45,0)</f>
        <v>0</v>
      </c>
      <c r="Z45" s="51">
        <f>IF(AD45=0,J45,0)</f>
        <v>0</v>
      </c>
      <c r="AA45" s="51">
        <f>IF(AD45=10,J45,0)</f>
        <v>0</v>
      </c>
      <c r="AB45" s="51">
        <f>IF(AD45=20,J45,0)</f>
        <v>0</v>
      </c>
      <c r="AD45" s="51">
        <v>20</v>
      </c>
      <c r="AE45" s="51">
        <f>G45*1</f>
        <v>0</v>
      </c>
      <c r="AF45" s="51">
        <f>G45*(1-1)</f>
        <v>0</v>
      </c>
    </row>
    <row r="46" spans="1:32" ht="12.75">
      <c r="A46" s="10" t="s">
        <v>235</v>
      </c>
      <c r="B46" s="10"/>
      <c r="C46" s="10" t="s">
        <v>236</v>
      </c>
      <c r="D46" s="10" t="s">
        <v>237</v>
      </c>
      <c r="E46" s="10" t="s">
        <v>169</v>
      </c>
      <c r="F46" s="51">
        <v>547.32</v>
      </c>
      <c r="H46" s="51">
        <f>ROUND(F46*AE46,2)</f>
        <v>0</v>
      </c>
      <c r="I46" s="51">
        <f>J46-H46</f>
        <v>0</v>
      </c>
      <c r="J46" s="51">
        <f>ROUND(F46*G46,2)</f>
        <v>0</v>
      </c>
      <c r="K46" s="51">
        <v>0.00571</v>
      </c>
      <c r="L46" s="51">
        <f>F46*K46</f>
        <v>3.1251972</v>
      </c>
      <c r="N46" s="74" t="s">
        <v>159</v>
      </c>
      <c r="O46" s="51">
        <f>IF(N46="5",I46,0)</f>
        <v>0</v>
      </c>
      <c r="Z46" s="51">
        <f>IF(AD46=0,J46,0)</f>
        <v>0</v>
      </c>
      <c r="AA46" s="51">
        <f>IF(AD46=10,J46,0)</f>
        <v>0</v>
      </c>
      <c r="AB46" s="51">
        <f>IF(AD46=20,J46,0)</f>
        <v>0</v>
      </c>
      <c r="AD46" s="51">
        <v>20</v>
      </c>
      <c r="AE46" s="51">
        <f>G46*0.92502000960461</f>
        <v>0</v>
      </c>
      <c r="AF46" s="51">
        <f>G46*(1-0.92502000960461)</f>
        <v>0</v>
      </c>
    </row>
    <row r="47" spans="1:32" ht="12.75">
      <c r="A47" s="10" t="s">
        <v>238</v>
      </c>
      <c r="B47" s="10"/>
      <c r="C47" s="10" t="s">
        <v>239</v>
      </c>
      <c r="D47" s="10" t="s">
        <v>237</v>
      </c>
      <c r="E47" s="10" t="s">
        <v>169</v>
      </c>
      <c r="F47" s="51">
        <v>447.5</v>
      </c>
      <c r="H47" s="51">
        <f>ROUND(F47*AE47,2)</f>
        <v>0</v>
      </c>
      <c r="I47" s="51">
        <f>J47-H47</f>
        <v>0</v>
      </c>
      <c r="J47" s="51">
        <f>ROUND(F47*G47,2)</f>
        <v>0</v>
      </c>
      <c r="K47" s="51">
        <v>0.00408</v>
      </c>
      <c r="L47" s="51">
        <f>F47*K47</f>
        <v>1.8258</v>
      </c>
      <c r="N47" s="74" t="s">
        <v>159</v>
      </c>
      <c r="O47" s="51">
        <f>IF(N47="5",I47,0)</f>
        <v>0</v>
      </c>
      <c r="Z47" s="51">
        <f>IF(AD47=0,J47,0)</f>
        <v>0</v>
      </c>
      <c r="AA47" s="51">
        <f>IF(AD47=10,J47,0)</f>
        <v>0</v>
      </c>
      <c r="AB47" s="51">
        <f>IF(AD47=20,J47,0)</f>
        <v>0</v>
      </c>
      <c r="AD47" s="51">
        <v>20</v>
      </c>
      <c r="AE47" s="51">
        <f>G47*0.905579399141631</f>
        <v>0</v>
      </c>
      <c r="AF47" s="51">
        <f>G47*(1-0.905579399141631)</f>
        <v>0</v>
      </c>
    </row>
    <row r="48" spans="1:32" ht="12.75">
      <c r="A48" s="10" t="s">
        <v>240</v>
      </c>
      <c r="B48" s="10"/>
      <c r="C48" s="10" t="s">
        <v>241</v>
      </c>
      <c r="D48" s="10" t="s">
        <v>242</v>
      </c>
      <c r="E48" s="10" t="s">
        <v>169</v>
      </c>
      <c r="F48" s="51">
        <v>55.44</v>
      </c>
      <c r="H48" s="51">
        <f>ROUND(F48*AE48,2)</f>
        <v>0</v>
      </c>
      <c r="I48" s="51">
        <f>J48-H48</f>
        <v>0</v>
      </c>
      <c r="J48" s="51">
        <f>ROUND(F48*G48,2)</f>
        <v>0</v>
      </c>
      <c r="K48" s="51">
        <v>0.00053</v>
      </c>
      <c r="L48" s="51">
        <f>F48*K48</f>
        <v>0.029383199999999998</v>
      </c>
      <c r="N48" s="74" t="s">
        <v>159</v>
      </c>
      <c r="O48" s="51">
        <f>IF(N48="5",I48,0)</f>
        <v>0</v>
      </c>
      <c r="Z48" s="51">
        <f>IF(AD48=0,J48,0)</f>
        <v>0</v>
      </c>
      <c r="AA48" s="51">
        <f>IF(AD48=10,J48,0)</f>
        <v>0</v>
      </c>
      <c r="AB48" s="51">
        <f>IF(AD48=20,J48,0)</f>
        <v>0</v>
      </c>
      <c r="AD48" s="51">
        <v>20</v>
      </c>
      <c r="AE48" s="51">
        <f>G48*0.272785933215035</f>
        <v>0</v>
      </c>
      <c r="AF48" s="51">
        <f>G48*(1-0.272785933215035)</f>
        <v>0</v>
      </c>
    </row>
    <row r="49" spans="1:32" ht="12.75">
      <c r="A49" s="10" t="s">
        <v>243</v>
      </c>
      <c r="B49" s="10"/>
      <c r="C49" s="10" t="s">
        <v>244</v>
      </c>
      <c r="D49" s="10" t="s">
        <v>245</v>
      </c>
      <c r="E49" s="10" t="s">
        <v>169</v>
      </c>
      <c r="F49" s="51">
        <v>622.45</v>
      </c>
      <c r="H49" s="51">
        <f>ROUND(F49*AE49,2)</f>
        <v>0</v>
      </c>
      <c r="I49" s="51">
        <f>J49-H49</f>
        <v>0</v>
      </c>
      <c r="J49" s="51">
        <f>ROUND(F49*G49,2)</f>
        <v>0</v>
      </c>
      <c r="K49" s="51">
        <v>0</v>
      </c>
      <c r="L49" s="51">
        <f>F49*K49</f>
        <v>0</v>
      </c>
      <c r="N49" s="74" t="s">
        <v>159</v>
      </c>
      <c r="O49" s="51">
        <f>IF(N49="5",I49,0)</f>
        <v>0</v>
      </c>
      <c r="Z49" s="51">
        <f>IF(AD49=0,J49,0)</f>
        <v>0</v>
      </c>
      <c r="AA49" s="51">
        <f>IF(AD49=10,J49,0)</f>
        <v>0</v>
      </c>
      <c r="AB49" s="51">
        <f>IF(AD49=20,J49,0)</f>
        <v>0</v>
      </c>
      <c r="AD49" s="51">
        <v>20</v>
      </c>
      <c r="AE49" s="51">
        <f>G49*0</f>
        <v>0</v>
      </c>
      <c r="AF49" s="51">
        <f>G49*(1-0)</f>
        <v>0</v>
      </c>
    </row>
    <row r="50" spans="1:32" ht="12.75">
      <c r="A50" s="10" t="s">
        <v>246</v>
      </c>
      <c r="B50" s="10"/>
      <c r="C50" s="10" t="s">
        <v>247</v>
      </c>
      <c r="D50" s="10" t="s">
        <v>248</v>
      </c>
      <c r="E50" s="10" t="s">
        <v>169</v>
      </c>
      <c r="F50" s="51">
        <v>583.04</v>
      </c>
      <c r="H50" s="51">
        <f>ROUND(F50*AE50,2)</f>
        <v>0</v>
      </c>
      <c r="I50" s="51">
        <f>J50-H50</f>
        <v>0</v>
      </c>
      <c r="J50" s="51">
        <f>ROUND(F50*G50,2)</f>
        <v>0</v>
      </c>
      <c r="K50" s="51">
        <v>0.00261</v>
      </c>
      <c r="L50" s="51">
        <f>F50*K50</f>
        <v>1.5217344</v>
      </c>
      <c r="N50" s="74" t="s">
        <v>159</v>
      </c>
      <c r="O50" s="51">
        <f>IF(N50="5",I50,0)</f>
        <v>0</v>
      </c>
      <c r="Z50" s="51">
        <f>IF(AD50=0,J50,0)</f>
        <v>0</v>
      </c>
      <c r="AA50" s="51">
        <f>IF(AD50=10,J50,0)</f>
        <v>0</v>
      </c>
      <c r="AB50" s="51">
        <f>IF(AD50=20,J50,0)</f>
        <v>0</v>
      </c>
      <c r="AD50" s="51">
        <v>20</v>
      </c>
      <c r="AE50" s="51">
        <f>G50*0.699976413240035</f>
        <v>0</v>
      </c>
      <c r="AF50" s="51">
        <f>G50*(1-0.699976413240035)</f>
        <v>0</v>
      </c>
    </row>
    <row r="51" spans="1:32" ht="12.75">
      <c r="A51" s="10" t="s">
        <v>71</v>
      </c>
      <c r="B51" s="10"/>
      <c r="C51" s="10" t="s">
        <v>249</v>
      </c>
      <c r="D51" s="10" t="s">
        <v>250</v>
      </c>
      <c r="E51" s="10" t="s">
        <v>231</v>
      </c>
      <c r="F51" s="51">
        <v>10073.59</v>
      </c>
      <c r="H51" s="51">
        <f>ROUND(F51*AE51,2)</f>
        <v>0</v>
      </c>
      <c r="I51" s="51">
        <f>J51-H51</f>
        <v>0</v>
      </c>
      <c r="J51" s="51">
        <f>ROUND(F51*G51,2)</f>
        <v>0</v>
      </c>
      <c r="K51" s="51">
        <v>0</v>
      </c>
      <c r="L51" s="51">
        <f>F51*K51</f>
        <v>0</v>
      </c>
      <c r="N51" s="74" t="s">
        <v>173</v>
      </c>
      <c r="O51" s="51">
        <f>IF(N51="5",I51,0)</f>
        <v>0</v>
      </c>
      <c r="Z51" s="51">
        <f>IF(AD51=0,J51,0)</f>
        <v>0</v>
      </c>
      <c r="AA51" s="51">
        <f>IF(AD51=10,J51,0)</f>
        <v>0</v>
      </c>
      <c r="AB51" s="51">
        <f>IF(AD51=20,J51,0)</f>
        <v>0</v>
      </c>
      <c r="AD51" s="51">
        <v>20</v>
      </c>
      <c r="AE51" s="51">
        <f>G51*0</f>
        <v>0</v>
      </c>
      <c r="AF51" s="51">
        <f>G51*(1-0)</f>
        <v>0</v>
      </c>
    </row>
    <row r="52" spans="1:37" ht="12.75">
      <c r="A52" s="75"/>
      <c r="B52" s="75"/>
      <c r="C52" s="76" t="s">
        <v>90</v>
      </c>
      <c r="D52" s="76" t="s">
        <v>91</v>
      </c>
      <c r="E52" s="76"/>
      <c r="F52" s="76"/>
      <c r="G52" s="76"/>
      <c r="H52" s="73">
        <f>SUM(H53:H63)</f>
        <v>0</v>
      </c>
      <c r="I52" s="73">
        <f>SUM(I53:I63)</f>
        <v>0</v>
      </c>
      <c r="J52" s="73">
        <f>H52+I52</f>
        <v>0</v>
      </c>
      <c r="K52" s="68"/>
      <c r="L52" s="73">
        <f>SUM(L53:L63)</f>
        <v>0.65139</v>
      </c>
      <c r="P52" s="73">
        <f>IF(Q52="PR",J52,SUM(O53:O63))</f>
        <v>0</v>
      </c>
      <c r="Q52" s="68" t="s">
        <v>221</v>
      </c>
      <c r="R52" s="73">
        <f>IF(Q52="HS",H52,0)</f>
        <v>0</v>
      </c>
      <c r="S52" s="73">
        <f>IF(Q52="HS",I52-P52,0)</f>
        <v>0</v>
      </c>
      <c r="T52" s="73">
        <f>IF(Q52="PS",H52,0)</f>
        <v>0</v>
      </c>
      <c r="U52" s="73">
        <f>IF(Q52="PS",I52-P52,0)</f>
        <v>0</v>
      </c>
      <c r="V52" s="73">
        <f>IF(Q52="MP",H52,0)</f>
        <v>0</v>
      </c>
      <c r="W52" s="73">
        <f>IF(Q52="MP",I52-P52,0)</f>
        <v>0</v>
      </c>
      <c r="X52" s="73">
        <f>IF(Q52="OM",H52,0)</f>
        <v>0</v>
      </c>
      <c r="Y52" s="68"/>
      <c r="AI52" s="73">
        <f>SUM(Z53:Z63)</f>
        <v>0</v>
      </c>
      <c r="AJ52" s="73">
        <f>SUM(AA53:AA63)</f>
        <v>0</v>
      </c>
      <c r="AK52" s="73">
        <f>SUM(AB53:AB63)</f>
        <v>0</v>
      </c>
    </row>
    <row r="53" spans="1:32" ht="12.75">
      <c r="A53" s="10" t="s">
        <v>251</v>
      </c>
      <c r="B53" s="10"/>
      <c r="C53" s="10" t="s">
        <v>252</v>
      </c>
      <c r="D53" s="10" t="s">
        <v>253</v>
      </c>
      <c r="E53" s="10" t="s">
        <v>162</v>
      </c>
      <c r="F53" s="51">
        <v>6</v>
      </c>
      <c r="H53" s="51">
        <f>ROUND(F53*AE53,2)</f>
        <v>0</v>
      </c>
      <c r="I53" s="51">
        <f>J53-H53</f>
        <v>0</v>
      </c>
      <c r="J53" s="51">
        <f>ROUND(F53*G53,2)</f>
        <v>0</v>
      </c>
      <c r="K53" s="51">
        <v>0.00171</v>
      </c>
      <c r="L53" s="51">
        <f>F53*K53</f>
        <v>0.01026</v>
      </c>
      <c r="N53" s="74" t="s">
        <v>159</v>
      </c>
      <c r="O53" s="51">
        <f>IF(N53="5",I53,0)</f>
        <v>0</v>
      </c>
      <c r="Z53" s="51">
        <f>IF(AD53=0,J53,0)</f>
        <v>0</v>
      </c>
      <c r="AA53" s="51">
        <f>IF(AD53=10,J53,0)</f>
        <v>0</v>
      </c>
      <c r="AB53" s="51">
        <f>IF(AD53=20,J53,0)</f>
        <v>0</v>
      </c>
      <c r="AD53" s="51">
        <v>20</v>
      </c>
      <c r="AE53" s="51">
        <f>G53*0.0788764634349889</f>
        <v>0</v>
      </c>
      <c r="AF53" s="51">
        <f>G53*(1-0.0788764634349889)</f>
        <v>0</v>
      </c>
    </row>
    <row r="54" spans="1:32" ht="12.75">
      <c r="A54" s="10" t="s">
        <v>254</v>
      </c>
      <c r="B54" s="10"/>
      <c r="C54" s="10" t="s">
        <v>255</v>
      </c>
      <c r="D54" s="10" t="s">
        <v>256</v>
      </c>
      <c r="E54" s="10" t="s">
        <v>190</v>
      </c>
      <c r="F54" s="51">
        <v>20</v>
      </c>
      <c r="H54" s="51">
        <f>ROUND(F54*AE54,2)</f>
        <v>0</v>
      </c>
      <c r="I54" s="51">
        <f>J54-H54</f>
        <v>0</v>
      </c>
      <c r="J54" s="51">
        <f>ROUND(F54*G54,2)</f>
        <v>0</v>
      </c>
      <c r="K54" s="51">
        <v>0.00047</v>
      </c>
      <c r="L54" s="51">
        <f>F54*K54</f>
        <v>0.0094</v>
      </c>
      <c r="N54" s="74" t="s">
        <v>159</v>
      </c>
      <c r="O54" s="51">
        <f>IF(N54="5",I54,0)</f>
        <v>0</v>
      </c>
      <c r="Z54" s="51">
        <f>IF(AD54=0,J54,0)</f>
        <v>0</v>
      </c>
      <c r="AA54" s="51">
        <f>IF(AD54=10,J54,0)</f>
        <v>0</v>
      </c>
      <c r="AB54" s="51">
        <f>IF(AD54=20,J54,0)</f>
        <v>0</v>
      </c>
      <c r="AD54" s="51">
        <v>20</v>
      </c>
      <c r="AE54" s="51">
        <f>G54*0.274228731692116</f>
        <v>0</v>
      </c>
      <c r="AF54" s="51">
        <f>G54*(1-0.274228731692116)</f>
        <v>0</v>
      </c>
    </row>
    <row r="55" spans="1:32" ht="12.75">
      <c r="A55" s="10" t="s">
        <v>74</v>
      </c>
      <c r="B55" s="10"/>
      <c r="C55" s="10" t="s">
        <v>257</v>
      </c>
      <c r="D55" s="10" t="s">
        <v>258</v>
      </c>
      <c r="E55" s="10" t="s">
        <v>190</v>
      </c>
      <c r="F55" s="51">
        <v>18</v>
      </c>
      <c r="H55" s="51">
        <f>ROUND(F55*AE55,2)</f>
        <v>0</v>
      </c>
      <c r="I55" s="51">
        <f>J55-H55</f>
        <v>0</v>
      </c>
      <c r="J55" s="51">
        <f>ROUND(F55*G55,2)</f>
        <v>0</v>
      </c>
      <c r="K55" s="51">
        <v>0.0007</v>
      </c>
      <c r="L55" s="51">
        <f>F55*K55</f>
        <v>0.0126</v>
      </c>
      <c r="N55" s="74" t="s">
        <v>159</v>
      </c>
      <c r="O55" s="51">
        <f>IF(N55="5",I55,0)</f>
        <v>0</v>
      </c>
      <c r="Z55" s="51">
        <f>IF(AD55=0,J55,0)</f>
        <v>0</v>
      </c>
      <c r="AA55" s="51">
        <f>IF(AD55=10,J55,0)</f>
        <v>0</v>
      </c>
      <c r="AB55" s="51">
        <f>IF(AD55=20,J55,0)</f>
        <v>0</v>
      </c>
      <c r="AD55" s="51">
        <v>20</v>
      </c>
      <c r="AE55" s="51">
        <f>G55*0.275977874357961</f>
        <v>0</v>
      </c>
      <c r="AF55" s="51">
        <f>G55*(1-0.275977874357961)</f>
        <v>0</v>
      </c>
    </row>
    <row r="56" spans="1:32" ht="12.75">
      <c r="A56" s="10" t="s">
        <v>259</v>
      </c>
      <c r="B56" s="10"/>
      <c r="C56" s="10" t="s">
        <v>260</v>
      </c>
      <c r="D56" s="10" t="s">
        <v>261</v>
      </c>
      <c r="E56" s="10" t="s">
        <v>190</v>
      </c>
      <c r="F56" s="51">
        <v>42</v>
      </c>
      <c r="H56" s="51">
        <f>ROUND(F56*AE56,2)</f>
        <v>0</v>
      </c>
      <c r="I56" s="51">
        <f>J56-H56</f>
        <v>0</v>
      </c>
      <c r="J56" s="51">
        <f>ROUND(F56*G56,2)</f>
        <v>0</v>
      </c>
      <c r="K56" s="51">
        <v>0.00151</v>
      </c>
      <c r="L56" s="51">
        <f>F56*K56</f>
        <v>0.06342</v>
      </c>
      <c r="N56" s="74" t="s">
        <v>159</v>
      </c>
      <c r="O56" s="51">
        <f>IF(N56="5",I56,0)</f>
        <v>0</v>
      </c>
      <c r="Z56" s="51">
        <f>IF(AD56=0,J56,0)</f>
        <v>0</v>
      </c>
      <c r="AA56" s="51">
        <f>IF(AD56=10,J56,0)</f>
        <v>0</v>
      </c>
      <c r="AB56" s="51">
        <f>IF(AD56=20,J56,0)</f>
        <v>0</v>
      </c>
      <c r="AD56" s="51">
        <v>20</v>
      </c>
      <c r="AE56" s="51">
        <f>G56*0.231901320305245</f>
        <v>0</v>
      </c>
      <c r="AF56" s="51">
        <f>G56*(1-0.231901320305245)</f>
        <v>0</v>
      </c>
    </row>
    <row r="57" spans="1:32" ht="12.75">
      <c r="A57" s="10" t="s">
        <v>262</v>
      </c>
      <c r="B57" s="10"/>
      <c r="C57" s="10" t="s">
        <v>263</v>
      </c>
      <c r="D57" s="10" t="s">
        <v>264</v>
      </c>
      <c r="E57" s="10" t="s">
        <v>190</v>
      </c>
      <c r="F57" s="51">
        <v>18</v>
      </c>
      <c r="H57" s="51">
        <f>ROUND(F57*AE57,2)</f>
        <v>0</v>
      </c>
      <c r="I57" s="51">
        <f>J57-H57</f>
        <v>0</v>
      </c>
      <c r="J57" s="51">
        <f>ROUND(F57*G57,2)</f>
        <v>0</v>
      </c>
      <c r="K57" s="51">
        <v>0.00138</v>
      </c>
      <c r="L57" s="51">
        <f>F57*K57</f>
        <v>0.024839999999999997</v>
      </c>
      <c r="N57" s="74" t="s">
        <v>159</v>
      </c>
      <c r="O57" s="51">
        <f>IF(N57="5",I57,0)</f>
        <v>0</v>
      </c>
      <c r="Z57" s="51">
        <f>IF(AD57=0,J57,0)</f>
        <v>0</v>
      </c>
      <c r="AA57" s="51">
        <f>IF(AD57=10,J57,0)</f>
        <v>0</v>
      </c>
      <c r="AB57" s="51">
        <f>IF(AD57=20,J57,0)</f>
        <v>0</v>
      </c>
      <c r="AD57" s="51">
        <v>20</v>
      </c>
      <c r="AE57" s="51">
        <f>G57*0.372182370820669</f>
        <v>0</v>
      </c>
      <c r="AF57" s="51">
        <f>G57*(1-0.372182370820669)</f>
        <v>0</v>
      </c>
    </row>
    <row r="58" spans="1:32" ht="12.75">
      <c r="A58" s="10" t="s">
        <v>265</v>
      </c>
      <c r="B58" s="10"/>
      <c r="C58" s="10" t="s">
        <v>266</v>
      </c>
      <c r="D58" s="10" t="s">
        <v>267</v>
      </c>
      <c r="E58" s="10" t="s">
        <v>162</v>
      </c>
      <c r="F58" s="51">
        <v>18</v>
      </c>
      <c r="H58" s="51">
        <f>ROUND(F58*AE58,2)</f>
        <v>0</v>
      </c>
      <c r="I58" s="51">
        <f>J58-H58</f>
        <v>0</v>
      </c>
      <c r="J58" s="51">
        <f>ROUND(F58*G58,2)</f>
        <v>0</v>
      </c>
      <c r="K58" s="51">
        <v>0</v>
      </c>
      <c r="L58" s="51">
        <f>F58*K58</f>
        <v>0</v>
      </c>
      <c r="N58" s="74" t="s">
        <v>159</v>
      </c>
      <c r="O58" s="51">
        <f>IF(N58="5",I58,0)</f>
        <v>0</v>
      </c>
      <c r="Z58" s="51">
        <f>IF(AD58=0,J58,0)</f>
        <v>0</v>
      </c>
      <c r="AA58" s="51">
        <f>IF(AD58=10,J58,0)</f>
        <v>0</v>
      </c>
      <c r="AB58" s="51">
        <f>IF(AD58=20,J58,0)</f>
        <v>0</v>
      </c>
      <c r="AD58" s="51">
        <v>20</v>
      </c>
      <c r="AE58" s="51">
        <f>G58*0</f>
        <v>0</v>
      </c>
      <c r="AF58" s="51">
        <f>G58*(1-0)</f>
        <v>0</v>
      </c>
    </row>
    <row r="59" spans="1:32" ht="12.75">
      <c r="A59" s="10" t="s">
        <v>268</v>
      </c>
      <c r="B59" s="10"/>
      <c r="C59" s="10" t="s">
        <v>269</v>
      </c>
      <c r="D59" s="10" t="s">
        <v>270</v>
      </c>
      <c r="E59" s="10" t="s">
        <v>162</v>
      </c>
      <c r="F59" s="51">
        <v>13</v>
      </c>
      <c r="H59" s="51">
        <f>ROUND(F59*AE59,2)</f>
        <v>0</v>
      </c>
      <c r="I59" s="51">
        <f>J59-H59</f>
        <v>0</v>
      </c>
      <c r="J59" s="51">
        <f>ROUND(F59*G59,2)</f>
        <v>0</v>
      </c>
      <c r="K59" s="51">
        <v>0</v>
      </c>
      <c r="L59" s="51">
        <f>F59*K59</f>
        <v>0</v>
      </c>
      <c r="N59" s="74" t="s">
        <v>159</v>
      </c>
      <c r="O59" s="51">
        <f>IF(N59="5",I59,0)</f>
        <v>0</v>
      </c>
      <c r="Z59" s="51">
        <f>IF(AD59=0,J59,0)</f>
        <v>0</v>
      </c>
      <c r="AA59" s="51">
        <f>IF(AD59=10,J59,0)</f>
        <v>0</v>
      </c>
      <c r="AB59" s="51">
        <f>IF(AD59=20,J59,0)</f>
        <v>0</v>
      </c>
      <c r="AD59" s="51">
        <v>20</v>
      </c>
      <c r="AE59" s="51">
        <f>G59*0</f>
        <v>0</v>
      </c>
      <c r="AF59" s="51">
        <f>G59*(1-0)</f>
        <v>0</v>
      </c>
    </row>
    <row r="60" spans="1:32" ht="12.75">
      <c r="A60" s="10" t="s">
        <v>271</v>
      </c>
      <c r="B60" s="10"/>
      <c r="C60" s="10" t="s">
        <v>272</v>
      </c>
      <c r="D60" s="10" t="s">
        <v>273</v>
      </c>
      <c r="E60" s="10" t="s">
        <v>162</v>
      </c>
      <c r="F60" s="51">
        <v>7</v>
      </c>
      <c r="H60" s="51">
        <f>ROUND(F60*AE60,2)</f>
        <v>0</v>
      </c>
      <c r="I60" s="51">
        <f>J60-H60</f>
        <v>0</v>
      </c>
      <c r="J60" s="51">
        <f>ROUND(F60*G60,2)</f>
        <v>0</v>
      </c>
      <c r="K60" s="51">
        <v>0.07382</v>
      </c>
      <c r="L60" s="51">
        <f>F60*K60</f>
        <v>0.51674</v>
      </c>
      <c r="N60" s="74" t="s">
        <v>159</v>
      </c>
      <c r="O60" s="51">
        <f>IF(N60="5",I60,0)</f>
        <v>0</v>
      </c>
      <c r="Z60" s="51">
        <f>IF(AD60=0,J60,0)</f>
        <v>0</v>
      </c>
      <c r="AA60" s="51">
        <f>IF(AD60=10,J60,0)</f>
        <v>0</v>
      </c>
      <c r="AB60" s="51">
        <f>IF(AD60=20,J60,0)</f>
        <v>0</v>
      </c>
      <c r="AD60" s="51">
        <v>20</v>
      </c>
      <c r="AE60" s="51">
        <f>G60*0.935717343395748</f>
        <v>0</v>
      </c>
      <c r="AF60" s="51">
        <f>G60*(1-0.935717343395748)</f>
        <v>0</v>
      </c>
    </row>
    <row r="61" spans="1:32" ht="12.75">
      <c r="A61" s="10" t="s">
        <v>274</v>
      </c>
      <c r="B61" s="10"/>
      <c r="C61" s="10" t="s">
        <v>275</v>
      </c>
      <c r="D61" s="10" t="s">
        <v>276</v>
      </c>
      <c r="E61" s="10" t="s">
        <v>162</v>
      </c>
      <c r="F61" s="51">
        <v>3</v>
      </c>
      <c r="H61" s="51">
        <f>ROUND(F61*AE61,2)</f>
        <v>0</v>
      </c>
      <c r="I61" s="51">
        <f>J61-H61</f>
        <v>0</v>
      </c>
      <c r="J61" s="51">
        <f>ROUND(F61*G61,2)</f>
        <v>0</v>
      </c>
      <c r="K61" s="51">
        <v>0.00471</v>
      </c>
      <c r="L61" s="51">
        <f>F61*K61</f>
        <v>0.01413</v>
      </c>
      <c r="N61" s="74" t="s">
        <v>159</v>
      </c>
      <c r="O61" s="51">
        <f>IF(N61="5",I61,0)</f>
        <v>0</v>
      </c>
      <c r="Z61" s="51">
        <f>IF(AD61=0,J61,0)</f>
        <v>0</v>
      </c>
      <c r="AA61" s="51">
        <f>IF(AD61=10,J61,0)</f>
        <v>0</v>
      </c>
      <c r="AB61" s="51">
        <f>IF(AD61=20,J61,0)</f>
        <v>0</v>
      </c>
      <c r="AD61" s="51">
        <v>20</v>
      </c>
      <c r="AE61" s="51">
        <f>G61*0.971555598049527</f>
        <v>0</v>
      </c>
      <c r="AF61" s="51">
        <f>G61*(1-0.971555598049527)</f>
        <v>0</v>
      </c>
    </row>
    <row r="62" spans="1:32" ht="12.75">
      <c r="A62" s="10" t="s">
        <v>277</v>
      </c>
      <c r="B62" s="10"/>
      <c r="C62" s="10" t="s">
        <v>278</v>
      </c>
      <c r="D62" s="10" t="s">
        <v>279</v>
      </c>
      <c r="E62" s="10" t="s">
        <v>190</v>
      </c>
      <c r="F62" s="51">
        <v>98</v>
      </c>
      <c r="H62" s="51">
        <f>ROUND(F62*AE62,2)</f>
        <v>0</v>
      </c>
      <c r="I62" s="51">
        <f>J62-H62</f>
        <v>0</v>
      </c>
      <c r="J62" s="51">
        <f>ROUND(F62*G62,2)</f>
        <v>0</v>
      </c>
      <c r="K62" s="51">
        <v>0</v>
      </c>
      <c r="L62" s="51">
        <f>F62*K62</f>
        <v>0</v>
      </c>
      <c r="N62" s="74" t="s">
        <v>159</v>
      </c>
      <c r="O62" s="51">
        <f>IF(N62="5",I62,0)</f>
        <v>0</v>
      </c>
      <c r="Z62" s="51">
        <f>IF(AD62=0,J62,0)</f>
        <v>0</v>
      </c>
      <c r="AA62" s="51">
        <f>IF(AD62=10,J62,0)</f>
        <v>0</v>
      </c>
      <c r="AB62" s="51">
        <f>IF(AD62=20,J62,0)</f>
        <v>0</v>
      </c>
      <c r="AD62" s="51">
        <v>20</v>
      </c>
      <c r="AE62" s="51">
        <f>G62*0.030491599253267</f>
        <v>0</v>
      </c>
      <c r="AF62" s="51">
        <f>G62*(1-0.030491599253267)</f>
        <v>0</v>
      </c>
    </row>
    <row r="63" spans="1:32" ht="12.75">
      <c r="A63" s="10" t="s">
        <v>280</v>
      </c>
      <c r="B63" s="10"/>
      <c r="C63" s="10" t="s">
        <v>281</v>
      </c>
      <c r="D63" s="10" t="s">
        <v>282</v>
      </c>
      <c r="E63" s="10" t="s">
        <v>231</v>
      </c>
      <c r="F63" s="51">
        <v>608.03</v>
      </c>
      <c r="H63" s="51">
        <f>ROUND(F63*AE63,2)</f>
        <v>0</v>
      </c>
      <c r="I63" s="51">
        <f>J63-H63</f>
        <v>0</v>
      </c>
      <c r="J63" s="51">
        <f>ROUND(F63*G63,2)</f>
        <v>0</v>
      </c>
      <c r="K63" s="51">
        <v>0</v>
      </c>
      <c r="L63" s="51">
        <f>F63*K63</f>
        <v>0</v>
      </c>
      <c r="N63" s="74" t="s">
        <v>173</v>
      </c>
      <c r="O63" s="51">
        <f>IF(N63="5",I63,0)</f>
        <v>0</v>
      </c>
      <c r="Z63" s="51">
        <f>IF(AD63=0,J63,0)</f>
        <v>0</v>
      </c>
      <c r="AA63" s="51">
        <f>IF(AD63=10,J63,0)</f>
        <v>0</v>
      </c>
      <c r="AB63" s="51">
        <f>IF(AD63=20,J63,0)</f>
        <v>0</v>
      </c>
      <c r="AD63" s="51">
        <v>20</v>
      </c>
      <c r="AE63" s="51">
        <f>G63*0</f>
        <v>0</v>
      </c>
      <c r="AF63" s="51">
        <f>G63*(1-0)</f>
        <v>0</v>
      </c>
    </row>
    <row r="64" spans="1:37" ht="12.75">
      <c r="A64" s="75"/>
      <c r="B64" s="75"/>
      <c r="C64" s="76" t="s">
        <v>92</v>
      </c>
      <c r="D64" s="76" t="s">
        <v>93</v>
      </c>
      <c r="E64" s="76"/>
      <c r="F64" s="76"/>
      <c r="G64" s="76"/>
      <c r="H64" s="73">
        <f>SUM(H65:H79)</f>
        <v>0</v>
      </c>
      <c r="I64" s="73">
        <f>SUM(I65:I79)</f>
        <v>0</v>
      </c>
      <c r="J64" s="73">
        <f>H64+I64</f>
        <v>0</v>
      </c>
      <c r="K64" s="68"/>
      <c r="L64" s="73">
        <f>SUM(L65:L79)</f>
        <v>0.527</v>
      </c>
      <c r="P64" s="73">
        <f>IF(Q64="PR",J64,SUM(O65:O79))</f>
        <v>0</v>
      </c>
      <c r="Q64" s="68" t="s">
        <v>221</v>
      </c>
      <c r="R64" s="73">
        <f>IF(Q64="HS",H64,0)</f>
        <v>0</v>
      </c>
      <c r="S64" s="73">
        <f>IF(Q64="HS",I64-P64,0)</f>
        <v>0</v>
      </c>
      <c r="T64" s="73">
        <f>IF(Q64="PS",H64,0)</f>
        <v>0</v>
      </c>
      <c r="U64" s="73">
        <f>IF(Q64="PS",I64-P64,0)</f>
        <v>0</v>
      </c>
      <c r="V64" s="73">
        <f>IF(Q64="MP",H64,0)</f>
        <v>0</v>
      </c>
      <c r="W64" s="73">
        <f>IF(Q64="MP",I64-P64,0)</f>
        <v>0</v>
      </c>
      <c r="X64" s="73">
        <f>IF(Q64="OM",H64,0)</f>
        <v>0</v>
      </c>
      <c r="Y64" s="68"/>
      <c r="AI64" s="73">
        <f>SUM(Z65:Z79)</f>
        <v>0</v>
      </c>
      <c r="AJ64" s="73">
        <f>SUM(AA65:AA79)</f>
        <v>0</v>
      </c>
      <c r="AK64" s="73">
        <f>SUM(AB65:AB79)</f>
        <v>0</v>
      </c>
    </row>
    <row r="65" spans="1:32" ht="12.75">
      <c r="A65" s="10" t="s">
        <v>283</v>
      </c>
      <c r="B65" s="10"/>
      <c r="C65" s="10" t="s">
        <v>284</v>
      </c>
      <c r="D65" s="10" t="s">
        <v>285</v>
      </c>
      <c r="E65" s="10" t="s">
        <v>190</v>
      </c>
      <c r="F65" s="51">
        <v>22</v>
      </c>
      <c r="H65" s="51">
        <f>ROUND(F65*AE65,2)</f>
        <v>0</v>
      </c>
      <c r="I65" s="51">
        <f>J65-H65</f>
        <v>0</v>
      </c>
      <c r="J65" s="51">
        <f>ROUND(F65*G65,2)</f>
        <v>0</v>
      </c>
      <c r="K65" s="51">
        <v>0.01447</v>
      </c>
      <c r="L65" s="51">
        <f>F65*K65</f>
        <v>0.31834</v>
      </c>
      <c r="N65" s="74" t="s">
        <v>159</v>
      </c>
      <c r="O65" s="51">
        <f>IF(N65="5",I65,0)</f>
        <v>0</v>
      </c>
      <c r="Z65" s="51">
        <f>IF(AD65=0,J65,0)</f>
        <v>0</v>
      </c>
      <c r="AA65" s="51">
        <f>IF(AD65=10,J65,0)</f>
        <v>0</v>
      </c>
      <c r="AB65" s="51">
        <f>IF(AD65=20,J65,0)</f>
        <v>0</v>
      </c>
      <c r="AD65" s="51">
        <v>20</v>
      </c>
      <c r="AE65" s="51">
        <f>G65*0.523155569805137</f>
        <v>0</v>
      </c>
      <c r="AF65" s="51">
        <f>G65*(1-0.523155569805137)</f>
        <v>0</v>
      </c>
    </row>
    <row r="66" spans="1:32" ht="12.75">
      <c r="A66" s="10" t="s">
        <v>286</v>
      </c>
      <c r="B66" s="10"/>
      <c r="C66" s="10" t="s">
        <v>287</v>
      </c>
      <c r="D66" s="10" t="s">
        <v>288</v>
      </c>
      <c r="E66" s="10" t="s">
        <v>289</v>
      </c>
      <c r="F66" s="51">
        <v>1</v>
      </c>
      <c r="H66" s="51">
        <f>ROUND(F66*AE66,2)</f>
        <v>0</v>
      </c>
      <c r="I66" s="51">
        <f>J66-H66</f>
        <v>0</v>
      </c>
      <c r="J66" s="51">
        <f>ROUND(F66*G66,2)</f>
        <v>0</v>
      </c>
      <c r="K66" s="51">
        <v>0.01096</v>
      </c>
      <c r="L66" s="51">
        <f>F66*K66</f>
        <v>0.01096</v>
      </c>
      <c r="N66" s="74" t="s">
        <v>159</v>
      </c>
      <c r="O66" s="51">
        <f>IF(N66="5",I66,0)</f>
        <v>0</v>
      </c>
      <c r="Z66" s="51">
        <f>IF(AD66=0,J66,0)</f>
        <v>0</v>
      </c>
      <c r="AA66" s="51">
        <f>IF(AD66=10,J66,0)</f>
        <v>0</v>
      </c>
      <c r="AB66" s="51">
        <f>IF(AD66=20,J66,0)</f>
        <v>0</v>
      </c>
      <c r="AD66" s="51">
        <v>20</v>
      </c>
      <c r="AE66" s="51">
        <f>G66*0.546163966131807</f>
        <v>0</v>
      </c>
      <c r="AF66" s="51">
        <f>G66*(1-0.546163966131807)</f>
        <v>0</v>
      </c>
    </row>
    <row r="67" spans="1:32" ht="12.75">
      <c r="A67" s="10" t="s">
        <v>290</v>
      </c>
      <c r="B67" s="10"/>
      <c r="C67" s="10" t="s">
        <v>291</v>
      </c>
      <c r="D67" s="10" t="s">
        <v>292</v>
      </c>
      <c r="E67" s="10" t="s">
        <v>162</v>
      </c>
      <c r="F67" s="51">
        <v>1</v>
      </c>
      <c r="H67" s="51">
        <f>ROUND(F67*AE67,2)</f>
        <v>0</v>
      </c>
      <c r="I67" s="51">
        <f>J67-H67</f>
        <v>0</v>
      </c>
      <c r="J67" s="51">
        <f>ROUND(F67*G67,2)</f>
        <v>0</v>
      </c>
      <c r="K67" s="51">
        <v>0.00619</v>
      </c>
      <c r="L67" s="51">
        <f>F67*K67</f>
        <v>0.00619</v>
      </c>
      <c r="N67" s="74" t="s">
        <v>159</v>
      </c>
      <c r="O67" s="51">
        <f>IF(N67="5",I67,0)</f>
        <v>0</v>
      </c>
      <c r="Z67" s="51">
        <f>IF(AD67=0,J67,0)</f>
        <v>0</v>
      </c>
      <c r="AA67" s="51">
        <f>IF(AD67=10,J67,0)</f>
        <v>0</v>
      </c>
      <c r="AB67" s="51">
        <f>IF(AD67=20,J67,0)</f>
        <v>0</v>
      </c>
      <c r="AD67" s="51">
        <v>20</v>
      </c>
      <c r="AE67" s="51">
        <f>G67*0.324302527032678</f>
        <v>0</v>
      </c>
      <c r="AF67" s="51">
        <f>G67*(1-0.324302527032678)</f>
        <v>0</v>
      </c>
    </row>
    <row r="68" spans="1:32" ht="12.75">
      <c r="A68" s="10" t="s">
        <v>293</v>
      </c>
      <c r="B68" s="10"/>
      <c r="C68" s="10" t="s">
        <v>294</v>
      </c>
      <c r="D68" s="10" t="s">
        <v>295</v>
      </c>
      <c r="E68" s="10" t="s">
        <v>190</v>
      </c>
      <c r="F68" s="51">
        <v>20</v>
      </c>
      <c r="H68" s="51">
        <f>ROUND(F68*AE68,2)</f>
        <v>0</v>
      </c>
      <c r="I68" s="51">
        <f>J68-H68</f>
        <v>0</v>
      </c>
      <c r="J68" s="51">
        <f>ROUND(F68*G68,2)</f>
        <v>0</v>
      </c>
      <c r="K68" s="51">
        <v>0.00059</v>
      </c>
      <c r="L68" s="51">
        <f>F68*K68</f>
        <v>0.011800000000000001</v>
      </c>
      <c r="N68" s="74" t="s">
        <v>159</v>
      </c>
      <c r="O68" s="51">
        <f>IF(N68="5",I68,0)</f>
        <v>0</v>
      </c>
      <c r="Z68" s="51">
        <f>IF(AD68=0,J68,0)</f>
        <v>0</v>
      </c>
      <c r="AA68" s="51">
        <f>IF(AD68=10,J68,0)</f>
        <v>0</v>
      </c>
      <c r="AB68" s="51">
        <f>IF(AD68=20,J68,0)</f>
        <v>0</v>
      </c>
      <c r="AD68" s="51">
        <v>20</v>
      </c>
      <c r="AE68" s="51">
        <f>G68*0.396308332250097</f>
        <v>0</v>
      </c>
      <c r="AF68" s="51">
        <f>G68*(1-0.396308332250097)</f>
        <v>0</v>
      </c>
    </row>
    <row r="69" spans="1:32" ht="12.75">
      <c r="A69" s="10" t="s">
        <v>296</v>
      </c>
      <c r="B69" s="10"/>
      <c r="C69" s="10" t="s">
        <v>297</v>
      </c>
      <c r="D69" s="10" t="s">
        <v>298</v>
      </c>
      <c r="E69" s="10" t="s">
        <v>190</v>
      </c>
      <c r="F69" s="51">
        <v>186</v>
      </c>
      <c r="H69" s="51">
        <f>ROUND(F69*AE69,2)</f>
        <v>0</v>
      </c>
      <c r="I69" s="51">
        <f>J69-H69</f>
        <v>0</v>
      </c>
      <c r="J69" s="51">
        <f>ROUND(F69*G69,2)</f>
        <v>0</v>
      </c>
      <c r="K69" s="51">
        <v>0.00031</v>
      </c>
      <c r="L69" s="51">
        <f>F69*K69</f>
        <v>0.05766</v>
      </c>
      <c r="N69" s="74" t="s">
        <v>159</v>
      </c>
      <c r="O69" s="51">
        <f>IF(N69="5",I69,0)</f>
        <v>0</v>
      </c>
      <c r="Z69" s="51">
        <f>IF(AD69=0,J69,0)</f>
        <v>0</v>
      </c>
      <c r="AA69" s="51">
        <f>IF(AD69=10,J69,0)</f>
        <v>0</v>
      </c>
      <c r="AB69" s="51">
        <f>IF(AD69=20,J69,0)</f>
        <v>0</v>
      </c>
      <c r="AD69" s="51">
        <v>20</v>
      </c>
      <c r="AE69" s="51">
        <f>G69*0.826893962332708</f>
        <v>0</v>
      </c>
      <c r="AF69" s="51">
        <f>G69*(1-0.826893962332708)</f>
        <v>0</v>
      </c>
    </row>
    <row r="70" spans="1:32" ht="12.75">
      <c r="A70" s="10" t="s">
        <v>299</v>
      </c>
      <c r="B70" s="10"/>
      <c r="C70" s="10" t="s">
        <v>300</v>
      </c>
      <c r="D70" s="10" t="s">
        <v>301</v>
      </c>
      <c r="E70" s="10" t="s">
        <v>190</v>
      </c>
      <c r="F70" s="51">
        <v>186</v>
      </c>
      <c r="H70" s="51">
        <f>ROUND(F70*AE70,2)</f>
        <v>0</v>
      </c>
      <c r="I70" s="51">
        <f>J70-H70</f>
        <v>0</v>
      </c>
      <c r="J70" s="51">
        <f>ROUND(F70*G70,2)</f>
        <v>0</v>
      </c>
      <c r="K70" s="51">
        <v>0.00016</v>
      </c>
      <c r="L70" s="51">
        <f>F70*K70</f>
        <v>0.02976</v>
      </c>
      <c r="N70" s="74" t="s">
        <v>159</v>
      </c>
      <c r="O70" s="51">
        <f>IF(N70="5",I70,0)</f>
        <v>0</v>
      </c>
      <c r="Z70" s="51">
        <f>IF(AD70=0,J70,0)</f>
        <v>0</v>
      </c>
      <c r="AA70" s="51">
        <f>IF(AD70=10,J70,0)</f>
        <v>0</v>
      </c>
      <c r="AB70" s="51">
        <f>IF(AD70=20,J70,0)</f>
        <v>0</v>
      </c>
      <c r="AD70" s="51">
        <v>20</v>
      </c>
      <c r="AE70" s="51">
        <f>G70*0.523907910271547</f>
        <v>0</v>
      </c>
      <c r="AF70" s="51">
        <f>G70*(1-0.523907910271547)</f>
        <v>0</v>
      </c>
    </row>
    <row r="71" spans="1:32" ht="12.75">
      <c r="A71" s="10" t="s">
        <v>302</v>
      </c>
      <c r="B71" s="10"/>
      <c r="C71" s="10" t="s">
        <v>303</v>
      </c>
      <c r="D71" s="10" t="s">
        <v>304</v>
      </c>
      <c r="E71" s="10" t="s">
        <v>162</v>
      </c>
      <c r="F71" s="51">
        <v>50</v>
      </c>
      <c r="H71" s="51">
        <f>ROUND(F71*AE71,2)</f>
        <v>0</v>
      </c>
      <c r="I71" s="51">
        <f>J71-H71</f>
        <v>0</v>
      </c>
      <c r="J71" s="51">
        <f>ROUND(F71*G71,2)</f>
        <v>0</v>
      </c>
      <c r="K71" s="51">
        <v>0</v>
      </c>
      <c r="L71" s="51">
        <f>F71*K71</f>
        <v>0</v>
      </c>
      <c r="N71" s="74" t="s">
        <v>159</v>
      </c>
      <c r="O71" s="51">
        <f>IF(N71="5",I71,0)</f>
        <v>0</v>
      </c>
      <c r="Z71" s="51">
        <f>IF(AD71=0,J71,0)</f>
        <v>0</v>
      </c>
      <c r="AA71" s="51">
        <f>IF(AD71=10,J71,0)</f>
        <v>0</v>
      </c>
      <c r="AB71" s="51">
        <f>IF(AD71=20,J71,0)</f>
        <v>0</v>
      </c>
      <c r="AD71" s="51">
        <v>20</v>
      </c>
      <c r="AE71" s="51">
        <f>G71*0</f>
        <v>0</v>
      </c>
      <c r="AF71" s="51">
        <f>G71*(1-0)</f>
        <v>0</v>
      </c>
    </row>
    <row r="72" spans="1:32" ht="12.75">
      <c r="A72" s="10" t="s">
        <v>305</v>
      </c>
      <c r="B72" s="10"/>
      <c r="C72" s="10" t="s">
        <v>306</v>
      </c>
      <c r="D72" s="10" t="s">
        <v>307</v>
      </c>
      <c r="E72" s="10" t="s">
        <v>162</v>
      </c>
      <c r="F72" s="51">
        <v>1</v>
      </c>
      <c r="H72" s="51">
        <f>ROUND(F72*AE72,2)</f>
        <v>0</v>
      </c>
      <c r="I72" s="51">
        <f>J72-H72</f>
        <v>0</v>
      </c>
      <c r="J72" s="51">
        <f>ROUND(F72*G72,2)</f>
        <v>0</v>
      </c>
      <c r="K72" s="51">
        <v>0</v>
      </c>
      <c r="L72" s="51">
        <f>F72*K72</f>
        <v>0</v>
      </c>
      <c r="N72" s="74" t="s">
        <v>159</v>
      </c>
      <c r="O72" s="51">
        <f>IF(N72="5",I72,0)</f>
        <v>0</v>
      </c>
      <c r="Z72" s="51">
        <f>IF(AD72=0,J72,0)</f>
        <v>0</v>
      </c>
      <c r="AA72" s="51">
        <f>IF(AD72=10,J72,0)</f>
        <v>0</v>
      </c>
      <c r="AB72" s="51">
        <f>IF(AD72=20,J72,0)</f>
        <v>0</v>
      </c>
      <c r="AD72" s="51">
        <v>20</v>
      </c>
      <c r="AE72" s="51">
        <f>G72*0</f>
        <v>0</v>
      </c>
      <c r="AF72" s="51">
        <f>G72*(1-0)</f>
        <v>0</v>
      </c>
    </row>
    <row r="73" spans="1:32" ht="12.75">
      <c r="A73" s="10" t="s">
        <v>308</v>
      </c>
      <c r="B73" s="10"/>
      <c r="C73" s="10" t="s">
        <v>309</v>
      </c>
      <c r="D73" s="10" t="s">
        <v>310</v>
      </c>
      <c r="E73" s="10" t="s">
        <v>162</v>
      </c>
      <c r="F73" s="51">
        <v>11</v>
      </c>
      <c r="H73" s="51">
        <f>ROUND(F73*AE73,2)</f>
        <v>0</v>
      </c>
      <c r="I73" s="51">
        <f>J73-H73</f>
        <v>0</v>
      </c>
      <c r="J73" s="51">
        <f>ROUND(F73*G73,2)</f>
        <v>0</v>
      </c>
      <c r="K73" s="51">
        <v>0.00067</v>
      </c>
      <c r="L73" s="51">
        <f>F73*K73</f>
        <v>0.00737</v>
      </c>
      <c r="N73" s="74" t="s">
        <v>159</v>
      </c>
      <c r="O73" s="51">
        <f>IF(N73="5",I73,0)</f>
        <v>0</v>
      </c>
      <c r="Z73" s="51">
        <f>IF(AD73=0,J73,0)</f>
        <v>0</v>
      </c>
      <c r="AA73" s="51">
        <f>IF(AD73=10,J73,0)</f>
        <v>0</v>
      </c>
      <c r="AB73" s="51">
        <f>IF(AD73=20,J73,0)</f>
        <v>0</v>
      </c>
      <c r="AD73" s="51">
        <v>20</v>
      </c>
      <c r="AE73" s="51">
        <f>G73*0.468249054007568</f>
        <v>0</v>
      </c>
      <c r="AF73" s="51">
        <f>G73*(1-0.468249054007568)</f>
        <v>0</v>
      </c>
    </row>
    <row r="74" spans="1:32" ht="12.75">
      <c r="A74" s="10" t="s">
        <v>311</v>
      </c>
      <c r="B74" s="10"/>
      <c r="C74" s="10" t="s">
        <v>312</v>
      </c>
      <c r="D74" s="10" t="s">
        <v>313</v>
      </c>
      <c r="E74" s="10" t="s">
        <v>162</v>
      </c>
      <c r="F74" s="51">
        <v>1</v>
      </c>
      <c r="H74" s="51">
        <f>ROUND(F74*AE74,2)</f>
        <v>0</v>
      </c>
      <c r="I74" s="51">
        <f>J74-H74</f>
        <v>0</v>
      </c>
      <c r="J74" s="51">
        <f>ROUND(F74*G74,2)</f>
        <v>0</v>
      </c>
      <c r="K74" s="51">
        <v>0.00076</v>
      </c>
      <c r="L74" s="51">
        <f>F74*K74</f>
        <v>0.00076</v>
      </c>
      <c r="N74" s="74" t="s">
        <v>159</v>
      </c>
      <c r="O74" s="51">
        <f>IF(N74="5",I74,0)</f>
        <v>0</v>
      </c>
      <c r="Z74" s="51">
        <f>IF(AD74=0,J74,0)</f>
        <v>0</v>
      </c>
      <c r="AA74" s="51">
        <f>IF(AD74=10,J74,0)</f>
        <v>0</v>
      </c>
      <c r="AB74" s="51">
        <f>IF(AD74=20,J74,0)</f>
        <v>0</v>
      </c>
      <c r="AD74" s="51">
        <v>20</v>
      </c>
      <c r="AE74" s="51">
        <f>G74*0.529246252908392</f>
        <v>0</v>
      </c>
      <c r="AF74" s="51">
        <f>G74*(1-0.529246252908392)</f>
        <v>0</v>
      </c>
    </row>
    <row r="75" spans="1:32" ht="12.75">
      <c r="A75" s="10" t="s">
        <v>314</v>
      </c>
      <c r="B75" s="10"/>
      <c r="C75" s="10" t="s">
        <v>315</v>
      </c>
      <c r="D75" s="10" t="s">
        <v>316</v>
      </c>
      <c r="E75" s="10" t="s">
        <v>317</v>
      </c>
      <c r="F75" s="51">
        <v>19</v>
      </c>
      <c r="H75" s="51">
        <f>ROUND(F75*AE75,2)</f>
        <v>0</v>
      </c>
      <c r="I75" s="51">
        <f>J75-H75</f>
        <v>0</v>
      </c>
      <c r="J75" s="51">
        <f>ROUND(F75*G75,2)</f>
        <v>0</v>
      </c>
      <c r="K75" s="51">
        <v>0.00156</v>
      </c>
      <c r="L75" s="51">
        <f>F75*K75</f>
        <v>0.02964</v>
      </c>
      <c r="N75" s="74" t="s">
        <v>159</v>
      </c>
      <c r="O75" s="51">
        <f>IF(N75="5",I75,0)</f>
        <v>0</v>
      </c>
      <c r="Z75" s="51">
        <f>IF(AD75=0,J75,0)</f>
        <v>0</v>
      </c>
      <c r="AA75" s="51">
        <f>IF(AD75=10,J75,0)</f>
        <v>0</v>
      </c>
      <c r="AB75" s="51">
        <f>IF(AD75=20,J75,0)</f>
        <v>0</v>
      </c>
      <c r="AD75" s="51">
        <v>20</v>
      </c>
      <c r="AE75" s="51">
        <f>G75*0.476632325851129</f>
        <v>0</v>
      </c>
      <c r="AF75" s="51">
        <f>G75*(1-0.476632325851129)</f>
        <v>0</v>
      </c>
    </row>
    <row r="76" spans="1:32" ht="12.75">
      <c r="A76" s="10" t="s">
        <v>318</v>
      </c>
      <c r="B76" s="10"/>
      <c r="C76" s="10" t="s">
        <v>319</v>
      </c>
      <c r="D76" s="10" t="s">
        <v>320</v>
      </c>
      <c r="E76" s="10" t="s">
        <v>162</v>
      </c>
      <c r="F76" s="51">
        <v>1</v>
      </c>
      <c r="H76" s="51">
        <f>ROUND(F76*AE76,2)</f>
        <v>0</v>
      </c>
      <c r="I76" s="51">
        <f>J76-H76</f>
        <v>0</v>
      </c>
      <c r="J76" s="51">
        <f>ROUND(F76*G76,2)</f>
        <v>0</v>
      </c>
      <c r="K76" s="51">
        <v>0.015</v>
      </c>
      <c r="L76" s="51">
        <f>F76*K76</f>
        <v>0.015</v>
      </c>
      <c r="N76" s="74" t="s">
        <v>159</v>
      </c>
      <c r="O76" s="51">
        <f>IF(N76="5",I76,0)</f>
        <v>0</v>
      </c>
      <c r="Z76" s="51">
        <f>IF(AD76=0,J76,0)</f>
        <v>0</v>
      </c>
      <c r="AA76" s="51">
        <f>IF(AD76=10,J76,0)</f>
        <v>0</v>
      </c>
      <c r="AB76" s="51">
        <f>IF(AD76=20,J76,0)</f>
        <v>0</v>
      </c>
      <c r="AD76" s="51">
        <v>20</v>
      </c>
      <c r="AE76" s="51">
        <f>G76*0.932613662559125</f>
        <v>0</v>
      </c>
      <c r="AF76" s="51">
        <f>G76*(1-0.932613662559125)</f>
        <v>0</v>
      </c>
    </row>
    <row r="77" spans="1:32" ht="12.75">
      <c r="A77" s="10" t="s">
        <v>321</v>
      </c>
      <c r="B77" s="10"/>
      <c r="C77" s="10" t="s">
        <v>322</v>
      </c>
      <c r="D77" s="10" t="s">
        <v>323</v>
      </c>
      <c r="E77" s="10" t="s">
        <v>190</v>
      </c>
      <c r="F77" s="51">
        <v>208</v>
      </c>
      <c r="H77" s="51">
        <f>ROUND(F77*AE77,2)</f>
        <v>0</v>
      </c>
      <c r="I77" s="51">
        <f>J77-H77</f>
        <v>0</v>
      </c>
      <c r="J77" s="51">
        <f>ROUND(F77*G77,2)</f>
        <v>0</v>
      </c>
      <c r="K77" s="51">
        <v>0.00018</v>
      </c>
      <c r="L77" s="51">
        <f>F77*K77</f>
        <v>0.03744</v>
      </c>
      <c r="N77" s="74" t="s">
        <v>159</v>
      </c>
      <c r="O77" s="51">
        <f>IF(N77="5",I77,0)</f>
        <v>0</v>
      </c>
      <c r="Z77" s="51">
        <f>IF(AD77=0,J77,0)</f>
        <v>0</v>
      </c>
      <c r="AA77" s="51">
        <f>IF(AD77=10,J77,0)</f>
        <v>0</v>
      </c>
      <c r="AB77" s="51">
        <f>IF(AD77=20,J77,0)</f>
        <v>0</v>
      </c>
      <c r="AD77" s="51">
        <v>20</v>
      </c>
      <c r="AE77" s="51">
        <f>G77*0.272271386430678</f>
        <v>0</v>
      </c>
      <c r="AF77" s="51">
        <f>G77*(1-0.272271386430678)</f>
        <v>0</v>
      </c>
    </row>
    <row r="78" spans="1:32" ht="12.75">
      <c r="A78" s="10" t="s">
        <v>324</v>
      </c>
      <c r="B78" s="10"/>
      <c r="C78" s="10" t="s">
        <v>325</v>
      </c>
      <c r="D78" s="10" t="s">
        <v>326</v>
      </c>
      <c r="E78" s="10" t="s">
        <v>190</v>
      </c>
      <c r="F78" s="51">
        <v>208</v>
      </c>
      <c r="H78" s="51">
        <f>ROUND(F78*AE78,2)</f>
        <v>0</v>
      </c>
      <c r="I78" s="51">
        <f>J78-H78</f>
        <v>0</v>
      </c>
      <c r="J78" s="51">
        <f>ROUND(F78*G78,2)</f>
        <v>0</v>
      </c>
      <c r="K78" s="51">
        <v>1E-05</v>
      </c>
      <c r="L78" s="51">
        <f>F78*K78</f>
        <v>0.0020800000000000003</v>
      </c>
      <c r="N78" s="74" t="s">
        <v>159</v>
      </c>
      <c r="O78" s="51">
        <f>IF(N78="5",I78,0)</f>
        <v>0</v>
      </c>
      <c r="Z78" s="51">
        <f>IF(AD78=0,J78,0)</f>
        <v>0</v>
      </c>
      <c r="AA78" s="51">
        <f>IF(AD78=10,J78,0)</f>
        <v>0</v>
      </c>
      <c r="AB78" s="51">
        <f>IF(AD78=20,J78,0)</f>
        <v>0</v>
      </c>
      <c r="AD78" s="51">
        <v>20</v>
      </c>
      <c r="AE78" s="51">
        <f>G78*0.0598690364826941</f>
        <v>0</v>
      </c>
      <c r="AF78" s="51">
        <f>G78*(1-0.0598690364826941)</f>
        <v>0</v>
      </c>
    </row>
    <row r="79" spans="1:32" ht="12.75">
      <c r="A79" s="10" t="s">
        <v>327</v>
      </c>
      <c r="B79" s="10"/>
      <c r="C79" s="10" t="s">
        <v>328</v>
      </c>
      <c r="D79" s="10" t="s">
        <v>329</v>
      </c>
      <c r="E79" s="10" t="s">
        <v>231</v>
      </c>
      <c r="F79" s="51">
        <v>1225.35</v>
      </c>
      <c r="H79" s="51">
        <f>ROUND(F79*AE79,2)</f>
        <v>0</v>
      </c>
      <c r="I79" s="51">
        <f>J79-H79</f>
        <v>0</v>
      </c>
      <c r="J79" s="51">
        <f>ROUND(F79*G79,2)</f>
        <v>0</v>
      </c>
      <c r="K79" s="51">
        <v>0</v>
      </c>
      <c r="L79" s="51">
        <f>F79*K79</f>
        <v>0</v>
      </c>
      <c r="N79" s="74" t="s">
        <v>173</v>
      </c>
      <c r="O79" s="51">
        <f>IF(N79="5",I79,0)</f>
        <v>0</v>
      </c>
      <c r="Z79" s="51">
        <f>IF(AD79=0,J79,0)</f>
        <v>0</v>
      </c>
      <c r="AA79" s="51">
        <f>IF(AD79=10,J79,0)</f>
        <v>0</v>
      </c>
      <c r="AB79" s="51">
        <f>IF(AD79=20,J79,0)</f>
        <v>0</v>
      </c>
      <c r="AD79" s="51">
        <v>20</v>
      </c>
      <c r="AE79" s="51">
        <f>G79*0</f>
        <v>0</v>
      </c>
      <c r="AF79" s="51">
        <f>G79*(1-0)</f>
        <v>0</v>
      </c>
    </row>
    <row r="80" spans="1:37" ht="12.75">
      <c r="A80" s="75"/>
      <c r="B80" s="75"/>
      <c r="C80" s="76" t="s">
        <v>94</v>
      </c>
      <c r="D80" s="76" t="s">
        <v>95</v>
      </c>
      <c r="E80" s="76"/>
      <c r="F80" s="76"/>
      <c r="G80" s="76"/>
      <c r="H80" s="73">
        <f>SUM(H81:H87)</f>
        <v>0</v>
      </c>
      <c r="I80" s="73">
        <f>SUM(I81:I87)</f>
        <v>0</v>
      </c>
      <c r="J80" s="73">
        <f>H80+I80</f>
        <v>0</v>
      </c>
      <c r="K80" s="68"/>
      <c r="L80" s="73">
        <f>SUM(L81:L87)</f>
        <v>0.47285999999999995</v>
      </c>
      <c r="P80" s="73">
        <f>IF(Q80="PR",J80,SUM(O81:O87))</f>
        <v>0</v>
      </c>
      <c r="Q80" s="68" t="s">
        <v>221</v>
      </c>
      <c r="R80" s="73">
        <f>IF(Q80="HS",H80,0)</f>
        <v>0</v>
      </c>
      <c r="S80" s="73">
        <f>IF(Q80="HS",I80-P80,0)</f>
        <v>0</v>
      </c>
      <c r="T80" s="73">
        <f>IF(Q80="PS",H80,0)</f>
        <v>0</v>
      </c>
      <c r="U80" s="73">
        <f>IF(Q80="PS",I80-P80,0)</f>
        <v>0</v>
      </c>
      <c r="V80" s="73">
        <f>IF(Q80="MP",H80,0)</f>
        <v>0</v>
      </c>
      <c r="W80" s="73">
        <f>IF(Q80="MP",I80-P80,0)</f>
        <v>0</v>
      </c>
      <c r="X80" s="73">
        <f>IF(Q80="OM",H80,0)</f>
        <v>0</v>
      </c>
      <c r="Y80" s="68"/>
      <c r="AI80" s="73">
        <f>SUM(Z81:Z87)</f>
        <v>0</v>
      </c>
      <c r="AJ80" s="73">
        <f>SUM(AA81:AA87)</f>
        <v>0</v>
      </c>
      <c r="AK80" s="73">
        <f>SUM(AB81:AB87)</f>
        <v>0</v>
      </c>
    </row>
    <row r="81" spans="1:32" ht="12.75">
      <c r="A81" s="10" t="s">
        <v>330</v>
      </c>
      <c r="B81" s="10"/>
      <c r="C81" s="10" t="s">
        <v>331</v>
      </c>
      <c r="D81" s="10" t="s">
        <v>332</v>
      </c>
      <c r="E81" s="10" t="s">
        <v>190</v>
      </c>
      <c r="F81" s="51">
        <v>2</v>
      </c>
      <c r="H81" s="51">
        <f>ROUND(F81*AE81,2)</f>
        <v>0</v>
      </c>
      <c r="I81" s="51">
        <f>J81-H81</f>
        <v>0</v>
      </c>
      <c r="J81" s="51">
        <f>ROUND(F81*G81,2)</f>
        <v>0</v>
      </c>
      <c r="K81" s="51">
        <v>0.01378</v>
      </c>
      <c r="L81" s="51">
        <f>F81*K81</f>
        <v>0.02756</v>
      </c>
      <c r="N81" s="74" t="s">
        <v>159</v>
      </c>
      <c r="O81" s="51">
        <f>IF(N81="5",I81,0)</f>
        <v>0</v>
      </c>
      <c r="Z81" s="51">
        <f>IF(AD81=0,J81,0)</f>
        <v>0</v>
      </c>
      <c r="AA81" s="51">
        <f>IF(AD81=10,J81,0)</f>
        <v>0</v>
      </c>
      <c r="AB81" s="51">
        <f>IF(AD81=20,J81,0)</f>
        <v>0</v>
      </c>
      <c r="AD81" s="51">
        <v>20</v>
      </c>
      <c r="AE81" s="51">
        <f>G81*0.343686135312466</f>
        <v>0</v>
      </c>
      <c r="AF81" s="51">
        <f>G81*(1-0.343686135312466)</f>
        <v>0</v>
      </c>
    </row>
    <row r="82" spans="1:32" ht="12.75">
      <c r="A82" s="10" t="s">
        <v>76</v>
      </c>
      <c r="B82" s="10"/>
      <c r="C82" s="10" t="s">
        <v>333</v>
      </c>
      <c r="D82" s="10" t="s">
        <v>334</v>
      </c>
      <c r="E82" s="10" t="s">
        <v>190</v>
      </c>
      <c r="F82" s="51">
        <v>31</v>
      </c>
      <c r="H82" s="51">
        <f>ROUND(F82*AE82,2)</f>
        <v>0</v>
      </c>
      <c r="I82" s="51">
        <f>J82-H82</f>
        <v>0</v>
      </c>
      <c r="J82" s="51">
        <f>ROUND(F82*G82,2)</f>
        <v>0</v>
      </c>
      <c r="K82" s="51">
        <v>0.01426</v>
      </c>
      <c r="L82" s="51">
        <f>F82*K82</f>
        <v>0.44206</v>
      </c>
      <c r="N82" s="74" t="s">
        <v>159</v>
      </c>
      <c r="O82" s="51">
        <f>IF(N82="5",I82,0)</f>
        <v>0</v>
      </c>
      <c r="Z82" s="51">
        <f>IF(AD82=0,J82,0)</f>
        <v>0</v>
      </c>
      <c r="AA82" s="51">
        <f>IF(AD82=10,J82,0)</f>
        <v>0</v>
      </c>
      <c r="AB82" s="51">
        <f>IF(AD82=20,J82,0)</f>
        <v>0</v>
      </c>
      <c r="AD82" s="51">
        <v>20</v>
      </c>
      <c r="AE82" s="51">
        <f>G82*0.444452072034965</f>
        <v>0</v>
      </c>
      <c r="AF82" s="51">
        <f>G82*(1-0.444452072034965)</f>
        <v>0</v>
      </c>
    </row>
    <row r="83" spans="1:32" ht="12.75">
      <c r="A83" s="10" t="s">
        <v>335</v>
      </c>
      <c r="B83" s="10"/>
      <c r="C83" s="10" t="s">
        <v>336</v>
      </c>
      <c r="D83" s="10" t="s">
        <v>337</v>
      </c>
      <c r="E83" s="10" t="s">
        <v>162</v>
      </c>
      <c r="F83" s="51">
        <v>3</v>
      </c>
      <c r="H83" s="51">
        <f>ROUND(F83*AE83,2)</f>
        <v>0</v>
      </c>
      <c r="I83" s="51">
        <f>J83-H83</f>
        <v>0</v>
      </c>
      <c r="J83" s="51">
        <f>ROUND(F83*G83,2)</f>
        <v>0</v>
      </c>
      <c r="K83" s="51">
        <v>0.00105</v>
      </c>
      <c r="L83" s="51">
        <f>F83*K83</f>
        <v>0.00315</v>
      </c>
      <c r="N83" s="74" t="s">
        <v>159</v>
      </c>
      <c r="O83" s="51">
        <f>IF(N83="5",I83,0)</f>
        <v>0</v>
      </c>
      <c r="Z83" s="51">
        <f>IF(AD83=0,J83,0)</f>
        <v>0</v>
      </c>
      <c r="AA83" s="51">
        <f>IF(AD83=10,J83,0)</f>
        <v>0</v>
      </c>
      <c r="AB83" s="51">
        <f>IF(AD83=20,J83,0)</f>
        <v>0</v>
      </c>
      <c r="AD83" s="51">
        <v>20</v>
      </c>
      <c r="AE83" s="51">
        <f>G83*0.395036938814169</f>
        <v>0</v>
      </c>
      <c r="AF83" s="51">
        <f>G83*(1-0.395036938814169)</f>
        <v>0</v>
      </c>
    </row>
    <row r="84" spans="1:32" ht="12.75">
      <c r="A84" s="10" t="s">
        <v>78</v>
      </c>
      <c r="B84" s="10"/>
      <c r="C84" s="10" t="s">
        <v>338</v>
      </c>
      <c r="D84" s="10" t="s">
        <v>339</v>
      </c>
      <c r="E84" s="10" t="s">
        <v>162</v>
      </c>
      <c r="F84" s="51">
        <v>1</v>
      </c>
      <c r="H84" s="51">
        <f>ROUND(F84*AE84,2)</f>
        <v>0</v>
      </c>
      <c r="I84" s="51">
        <f>J84-H84</f>
        <v>0</v>
      </c>
      <c r="J84" s="51">
        <f>ROUND(F84*G84,2)</f>
        <v>0</v>
      </c>
      <c r="K84" s="51">
        <v>0</v>
      </c>
      <c r="L84" s="51">
        <f>F84*K84</f>
        <v>0</v>
      </c>
      <c r="N84" s="74" t="s">
        <v>159</v>
      </c>
      <c r="O84" s="51">
        <f>IF(N84="5",I84,0)</f>
        <v>0</v>
      </c>
      <c r="Z84" s="51">
        <f>IF(AD84=0,J84,0)</f>
        <v>0</v>
      </c>
      <c r="AA84" s="51">
        <f>IF(AD84=10,J84,0)</f>
        <v>0</v>
      </c>
      <c r="AB84" s="51">
        <f>IF(AD84=20,J84,0)</f>
        <v>0</v>
      </c>
      <c r="AD84" s="51">
        <v>20</v>
      </c>
      <c r="AE84" s="51">
        <f>G84*0</f>
        <v>0</v>
      </c>
      <c r="AF84" s="51">
        <f>G84*(1-0)</f>
        <v>0</v>
      </c>
    </row>
    <row r="85" spans="1:32" ht="12.75">
      <c r="A85" s="10" t="s">
        <v>80</v>
      </c>
      <c r="B85" s="10"/>
      <c r="C85" s="10" t="s">
        <v>340</v>
      </c>
      <c r="D85" s="10" t="s">
        <v>341</v>
      </c>
      <c r="E85" s="10" t="s">
        <v>162</v>
      </c>
      <c r="F85" s="51">
        <v>2</v>
      </c>
      <c r="H85" s="51">
        <f>ROUND(F85*AE85,2)</f>
        <v>0</v>
      </c>
      <c r="I85" s="51">
        <f>J85-H85</f>
        <v>0</v>
      </c>
      <c r="J85" s="51">
        <f>ROUND(F85*G85,2)</f>
        <v>0</v>
      </c>
      <c r="K85" s="51">
        <v>3E-05</v>
      </c>
      <c r="L85" s="51">
        <f>F85*K85</f>
        <v>6E-05</v>
      </c>
      <c r="N85" s="74" t="s">
        <v>159</v>
      </c>
      <c r="O85" s="51">
        <f>IF(N85="5",I85,0)</f>
        <v>0</v>
      </c>
      <c r="Z85" s="51">
        <f>IF(AD85=0,J85,0)</f>
        <v>0</v>
      </c>
      <c r="AA85" s="51">
        <f>IF(AD85=10,J85,0)</f>
        <v>0</v>
      </c>
      <c r="AB85" s="51">
        <f>IF(AD85=20,J85,0)</f>
        <v>0</v>
      </c>
      <c r="AD85" s="51">
        <v>20</v>
      </c>
      <c r="AE85" s="51">
        <f>G85*0.721058117384897</f>
        <v>0</v>
      </c>
      <c r="AF85" s="51">
        <f>G85*(1-0.721058117384897)</f>
        <v>0</v>
      </c>
    </row>
    <row r="86" spans="1:32" ht="12.75">
      <c r="A86" s="10" t="s">
        <v>82</v>
      </c>
      <c r="B86" s="10"/>
      <c r="C86" s="10" t="s">
        <v>342</v>
      </c>
      <c r="D86" s="10" t="s">
        <v>343</v>
      </c>
      <c r="E86" s="10" t="s">
        <v>162</v>
      </c>
      <c r="F86" s="51">
        <v>1</v>
      </c>
      <c r="H86" s="51">
        <f>ROUND(F86*AE86,2)</f>
        <v>0</v>
      </c>
      <c r="I86" s="51">
        <f>J86-H86</f>
        <v>0</v>
      </c>
      <c r="J86" s="51">
        <f>ROUND(F86*G86,2)</f>
        <v>0</v>
      </c>
      <c r="K86" s="51">
        <v>3E-05</v>
      </c>
      <c r="L86" s="51">
        <f>F86*K86</f>
        <v>3E-05</v>
      </c>
      <c r="N86" s="74" t="s">
        <v>159</v>
      </c>
      <c r="O86" s="51">
        <f>IF(N86="5",I86,0)</f>
        <v>0</v>
      </c>
      <c r="Z86" s="51">
        <f>IF(AD86=0,J86,0)</f>
        <v>0</v>
      </c>
      <c r="AA86" s="51">
        <f>IF(AD86=10,J86,0)</f>
        <v>0</v>
      </c>
      <c r="AB86" s="51">
        <f>IF(AD86=20,J86,0)</f>
        <v>0</v>
      </c>
      <c r="AD86" s="51">
        <v>20</v>
      </c>
      <c r="AE86" s="51">
        <f>G86*0.836689290493157</f>
        <v>0</v>
      </c>
      <c r="AF86" s="51">
        <f>G86*(1-0.836689290493157)</f>
        <v>0</v>
      </c>
    </row>
    <row r="87" spans="1:32" ht="12.75">
      <c r="A87" s="10" t="s">
        <v>84</v>
      </c>
      <c r="B87" s="10"/>
      <c r="C87" s="10" t="s">
        <v>344</v>
      </c>
      <c r="D87" s="10" t="s">
        <v>345</v>
      </c>
      <c r="E87" s="10" t="s">
        <v>231</v>
      </c>
      <c r="F87" s="51">
        <v>164.41</v>
      </c>
      <c r="H87" s="51">
        <f>ROUND(F87*AE87,2)</f>
        <v>0</v>
      </c>
      <c r="I87" s="51">
        <f>J87-H87</f>
        <v>0</v>
      </c>
      <c r="J87" s="51">
        <f>ROUND(F87*G87,2)</f>
        <v>0</v>
      </c>
      <c r="K87" s="51">
        <v>0</v>
      </c>
      <c r="L87" s="51">
        <f>F87*K87</f>
        <v>0</v>
      </c>
      <c r="N87" s="74" t="s">
        <v>173</v>
      </c>
      <c r="O87" s="51">
        <f>IF(N87="5",I87,0)</f>
        <v>0</v>
      </c>
      <c r="Z87" s="51">
        <f>IF(AD87=0,J87,0)</f>
        <v>0</v>
      </c>
      <c r="AA87" s="51">
        <f>IF(AD87=10,J87,0)</f>
        <v>0</v>
      </c>
      <c r="AB87" s="51">
        <f>IF(AD87=20,J87,0)</f>
        <v>0</v>
      </c>
      <c r="AD87" s="51">
        <v>20</v>
      </c>
      <c r="AE87" s="51">
        <f>G87*0</f>
        <v>0</v>
      </c>
      <c r="AF87" s="51">
        <f>G87*(1-0)</f>
        <v>0</v>
      </c>
    </row>
    <row r="88" spans="1:37" ht="12.75">
      <c r="A88" s="75"/>
      <c r="B88" s="75"/>
      <c r="C88" s="76" t="s">
        <v>96</v>
      </c>
      <c r="D88" s="76" t="s">
        <v>97</v>
      </c>
      <c r="E88" s="76"/>
      <c r="F88" s="76"/>
      <c r="G88" s="76"/>
      <c r="H88" s="73">
        <f>SUM(H89:H97)</f>
        <v>0</v>
      </c>
      <c r="I88" s="73">
        <f>SUM(I89:I97)</f>
        <v>0</v>
      </c>
      <c r="J88" s="73">
        <f>H88+I88</f>
        <v>0</v>
      </c>
      <c r="K88" s="68"/>
      <c r="L88" s="73">
        <f>SUM(L89:L97)</f>
        <v>0.65103</v>
      </c>
      <c r="P88" s="73">
        <f>IF(Q88="PR",J88,SUM(O89:O97))</f>
        <v>0</v>
      </c>
      <c r="Q88" s="68" t="s">
        <v>221</v>
      </c>
      <c r="R88" s="73">
        <f>IF(Q88="HS",H88,0)</f>
        <v>0</v>
      </c>
      <c r="S88" s="73">
        <f>IF(Q88="HS",I88-P88,0)</f>
        <v>0</v>
      </c>
      <c r="T88" s="73">
        <f>IF(Q88="PS",H88,0)</f>
        <v>0</v>
      </c>
      <c r="U88" s="73">
        <f>IF(Q88="PS",I88-P88,0)</f>
        <v>0</v>
      </c>
      <c r="V88" s="73">
        <f>IF(Q88="MP",H88,0)</f>
        <v>0</v>
      </c>
      <c r="W88" s="73">
        <f>IF(Q88="MP",I88-P88,0)</f>
        <v>0</v>
      </c>
      <c r="X88" s="73">
        <f>IF(Q88="OM",H88,0)</f>
        <v>0</v>
      </c>
      <c r="Y88" s="68"/>
      <c r="AI88" s="73">
        <f>SUM(Z89:Z97)</f>
        <v>0</v>
      </c>
      <c r="AJ88" s="73">
        <f>SUM(AA89:AA97)</f>
        <v>0</v>
      </c>
      <c r="AK88" s="73">
        <f>SUM(AB89:AB97)</f>
        <v>0</v>
      </c>
    </row>
    <row r="89" spans="1:32" ht="12.75">
      <c r="A89" s="10" t="s">
        <v>346</v>
      </c>
      <c r="B89" s="10"/>
      <c r="C89" s="10" t="s">
        <v>347</v>
      </c>
      <c r="D89" s="10" t="s">
        <v>348</v>
      </c>
      <c r="E89" s="10" t="s">
        <v>349</v>
      </c>
      <c r="F89" s="51">
        <v>3</v>
      </c>
      <c r="H89" s="51">
        <f>ROUND(F89*AE89,2)</f>
        <v>0</v>
      </c>
      <c r="I89" s="51">
        <f>J89-H89</f>
        <v>0</v>
      </c>
      <c r="J89" s="51">
        <f>ROUND(F89*G89,2)</f>
        <v>0</v>
      </c>
      <c r="K89" s="51">
        <v>0</v>
      </c>
      <c r="L89" s="51">
        <f>F89*K89</f>
        <v>0</v>
      </c>
      <c r="N89" s="74" t="s">
        <v>159</v>
      </c>
      <c r="O89" s="51">
        <f>IF(N89="5",I89,0)</f>
        <v>0</v>
      </c>
      <c r="Z89" s="51">
        <f>IF(AD89=0,J89,0)</f>
        <v>0</v>
      </c>
      <c r="AA89" s="51">
        <f>IF(AD89=10,J89,0)</f>
        <v>0</v>
      </c>
      <c r="AB89" s="51">
        <f>IF(AD89=20,J89,0)</f>
        <v>0</v>
      </c>
      <c r="AD89" s="51">
        <v>20</v>
      </c>
      <c r="AE89" s="51">
        <f>G89*0.9375</f>
        <v>0</v>
      </c>
      <c r="AF89" s="51">
        <f>G89*(1-0.9375)</f>
        <v>0</v>
      </c>
    </row>
    <row r="90" spans="1:32" ht="12.75">
      <c r="A90" s="10" t="s">
        <v>350</v>
      </c>
      <c r="B90" s="10"/>
      <c r="C90" s="10" t="s">
        <v>351</v>
      </c>
      <c r="D90" s="10" t="s">
        <v>352</v>
      </c>
      <c r="E90" s="10" t="s">
        <v>349</v>
      </c>
      <c r="F90" s="51">
        <v>3</v>
      </c>
      <c r="H90" s="51">
        <f>ROUND(F90*AE90,2)</f>
        <v>0</v>
      </c>
      <c r="I90" s="51">
        <f>J90-H90</f>
        <v>0</v>
      </c>
      <c r="J90" s="51">
        <f>ROUND(F90*G90,2)</f>
        <v>0</v>
      </c>
      <c r="K90" s="51">
        <v>0</v>
      </c>
      <c r="L90" s="51">
        <f>F90*K90</f>
        <v>0</v>
      </c>
      <c r="N90" s="74" t="s">
        <v>159</v>
      </c>
      <c r="O90" s="51">
        <f>IF(N90="5",I90,0)</f>
        <v>0</v>
      </c>
      <c r="Z90" s="51">
        <f>IF(AD90=0,J90,0)</f>
        <v>0</v>
      </c>
      <c r="AA90" s="51">
        <f>IF(AD90=10,J90,0)</f>
        <v>0</v>
      </c>
      <c r="AB90" s="51">
        <f>IF(AD90=20,J90,0)</f>
        <v>0</v>
      </c>
      <c r="AD90" s="51">
        <v>20</v>
      </c>
      <c r="AE90" s="51">
        <f>G90*0.916256157635468</f>
        <v>0</v>
      </c>
      <c r="AF90" s="51">
        <f>G90*(1-0.916256157635468)</f>
        <v>0</v>
      </c>
    </row>
    <row r="91" spans="1:32" ht="12.75">
      <c r="A91" s="10" t="s">
        <v>353</v>
      </c>
      <c r="B91" s="10"/>
      <c r="C91" s="10" t="s">
        <v>354</v>
      </c>
      <c r="D91" s="10" t="s">
        <v>355</v>
      </c>
      <c r="E91" s="10" t="s">
        <v>289</v>
      </c>
      <c r="F91" s="51">
        <v>11</v>
      </c>
      <c r="H91" s="51">
        <f>ROUND(F91*AE91,2)</f>
        <v>0</v>
      </c>
      <c r="I91" s="51">
        <f>J91-H91</f>
        <v>0</v>
      </c>
      <c r="J91" s="51">
        <f>ROUND(F91*G91,2)</f>
        <v>0</v>
      </c>
      <c r="K91" s="51">
        <v>0.02672</v>
      </c>
      <c r="L91" s="51">
        <f>F91*K91</f>
        <v>0.29392</v>
      </c>
      <c r="N91" s="74" t="s">
        <v>159</v>
      </c>
      <c r="O91" s="51">
        <f>IF(N91="5",I91,0)</f>
        <v>0</v>
      </c>
      <c r="Z91" s="51">
        <f>IF(AD91=0,J91,0)</f>
        <v>0</v>
      </c>
      <c r="AA91" s="51">
        <f>IF(AD91=10,J91,0)</f>
        <v>0</v>
      </c>
      <c r="AB91" s="51">
        <f>IF(AD91=20,J91,0)</f>
        <v>0</v>
      </c>
      <c r="AD91" s="51">
        <v>20</v>
      </c>
      <c r="AE91" s="51">
        <f>G91*0.880784068397456</f>
        <v>0</v>
      </c>
      <c r="AF91" s="51">
        <f>G91*(1-0.880784068397456)</f>
        <v>0</v>
      </c>
    </row>
    <row r="92" spans="1:32" ht="12.75">
      <c r="A92" s="10" t="s">
        <v>356</v>
      </c>
      <c r="B92" s="10"/>
      <c r="C92" s="10" t="s">
        <v>357</v>
      </c>
      <c r="D92" s="10" t="s">
        <v>358</v>
      </c>
      <c r="E92" s="10" t="s">
        <v>289</v>
      </c>
      <c r="F92" s="51">
        <v>15</v>
      </c>
      <c r="H92" s="51">
        <f>ROUND(F92*AE92,2)</f>
        <v>0</v>
      </c>
      <c r="I92" s="51">
        <f>J92-H92</f>
        <v>0</v>
      </c>
      <c r="J92" s="51">
        <f>ROUND(F92*G92,2)</f>
        <v>0</v>
      </c>
      <c r="K92" s="51">
        <v>0.01653</v>
      </c>
      <c r="L92" s="51">
        <f>F92*K92</f>
        <v>0.24795</v>
      </c>
      <c r="N92" s="74" t="s">
        <v>159</v>
      </c>
      <c r="O92" s="51">
        <f>IF(N92="5",I92,0)</f>
        <v>0</v>
      </c>
      <c r="Z92" s="51">
        <f>IF(AD92=0,J92,0)</f>
        <v>0</v>
      </c>
      <c r="AA92" s="51">
        <f>IF(AD92=10,J92,0)</f>
        <v>0</v>
      </c>
      <c r="AB92" s="51">
        <f>IF(AD92=20,J92,0)</f>
        <v>0</v>
      </c>
      <c r="AD92" s="51">
        <v>20</v>
      </c>
      <c r="AE92" s="51">
        <f>G92*0.716259964057383</f>
        <v>0</v>
      </c>
      <c r="AF92" s="51">
        <f>G92*(1-0.716259964057383)</f>
        <v>0</v>
      </c>
    </row>
    <row r="93" spans="1:32" ht="12.75">
      <c r="A93" s="10" t="s">
        <v>359</v>
      </c>
      <c r="B93" s="10"/>
      <c r="C93" s="10" t="s">
        <v>360</v>
      </c>
      <c r="D93" s="10" t="s">
        <v>361</v>
      </c>
      <c r="E93" s="10" t="s">
        <v>289</v>
      </c>
      <c r="F93" s="51">
        <v>15</v>
      </c>
      <c r="H93" s="51">
        <f>ROUND(F93*AE93,2)</f>
        <v>0</v>
      </c>
      <c r="I93" s="51">
        <f>J93-H93</f>
        <v>0</v>
      </c>
      <c r="J93" s="51">
        <f>ROUND(F93*G93,2)</f>
        <v>0</v>
      </c>
      <c r="K93" s="51">
        <v>0.00477</v>
      </c>
      <c r="L93" s="51">
        <f>F93*K93</f>
        <v>0.07155</v>
      </c>
      <c r="N93" s="74" t="s">
        <v>159</v>
      </c>
      <c r="O93" s="51">
        <f>IF(N93="5",I93,0)</f>
        <v>0</v>
      </c>
      <c r="Z93" s="51">
        <f>IF(AD93=0,J93,0)</f>
        <v>0</v>
      </c>
      <c r="AA93" s="51">
        <f>IF(AD93=10,J93,0)</f>
        <v>0</v>
      </c>
      <c r="AB93" s="51">
        <f>IF(AD93=20,J93,0)</f>
        <v>0</v>
      </c>
      <c r="AD93" s="51">
        <v>20</v>
      </c>
      <c r="AE93" s="51">
        <f>G93*0.879349308396649</f>
        <v>0</v>
      </c>
      <c r="AF93" s="51">
        <f>G93*(1-0.879349308396649)</f>
        <v>0</v>
      </c>
    </row>
    <row r="94" spans="1:32" ht="12.75">
      <c r="A94" s="10" t="s">
        <v>362</v>
      </c>
      <c r="B94" s="10"/>
      <c r="C94" s="10" t="s">
        <v>363</v>
      </c>
      <c r="D94" s="10" t="s">
        <v>364</v>
      </c>
      <c r="E94" s="10" t="s">
        <v>162</v>
      </c>
      <c r="F94" s="51">
        <v>2</v>
      </c>
      <c r="H94" s="51">
        <f>ROUND(F94*AE94,2)</f>
        <v>0</v>
      </c>
      <c r="I94" s="51">
        <f>J94-H94</f>
        <v>0</v>
      </c>
      <c r="J94" s="51">
        <f>ROUND(F94*G94,2)</f>
        <v>0</v>
      </c>
      <c r="K94" s="51">
        <v>0.01613</v>
      </c>
      <c r="L94" s="51">
        <f>F94*K94</f>
        <v>0.03226</v>
      </c>
      <c r="N94" s="74" t="s">
        <v>159</v>
      </c>
      <c r="O94" s="51">
        <f>IF(N94="5",I94,0)</f>
        <v>0</v>
      </c>
      <c r="Z94" s="51">
        <f>IF(AD94=0,J94,0)</f>
        <v>0</v>
      </c>
      <c r="AA94" s="51">
        <f>IF(AD94=10,J94,0)</f>
        <v>0</v>
      </c>
      <c r="AB94" s="51">
        <f>IF(AD94=20,J94,0)</f>
        <v>0</v>
      </c>
      <c r="AD94" s="51">
        <v>20</v>
      </c>
      <c r="AE94" s="51">
        <f>G94*0.959212244432954</f>
        <v>0</v>
      </c>
      <c r="AF94" s="51">
        <f>G94*(1-0.959212244432954)</f>
        <v>0</v>
      </c>
    </row>
    <row r="95" spans="1:32" ht="12.75">
      <c r="A95" s="10" t="s">
        <v>365</v>
      </c>
      <c r="B95" s="10"/>
      <c r="C95" s="10" t="s">
        <v>366</v>
      </c>
      <c r="D95" s="10" t="s">
        <v>367</v>
      </c>
      <c r="E95" s="10" t="s">
        <v>289</v>
      </c>
      <c r="F95" s="51">
        <v>11</v>
      </c>
      <c r="H95" s="51">
        <f>ROUND(F95*AE95,2)</f>
        <v>0</v>
      </c>
      <c r="I95" s="51">
        <f>J95-H95</f>
        <v>0</v>
      </c>
      <c r="J95" s="51">
        <f>ROUND(F95*G95,2)</f>
        <v>0</v>
      </c>
      <c r="K95" s="51">
        <v>0.00029</v>
      </c>
      <c r="L95" s="51">
        <f>F95*K95</f>
        <v>0.00319</v>
      </c>
      <c r="N95" s="74" t="s">
        <v>159</v>
      </c>
      <c r="O95" s="51">
        <f>IF(N95="5",I95,0)</f>
        <v>0</v>
      </c>
      <c r="Z95" s="51">
        <f>IF(AD95=0,J95,0)</f>
        <v>0</v>
      </c>
      <c r="AA95" s="51">
        <f>IF(AD95=10,J95,0)</f>
        <v>0</v>
      </c>
      <c r="AB95" s="51">
        <f>IF(AD95=20,J95,0)</f>
        <v>0</v>
      </c>
      <c r="AD95" s="51">
        <v>20</v>
      </c>
      <c r="AE95" s="51">
        <f>G95*0.656625944232025</f>
        <v>0</v>
      </c>
      <c r="AF95" s="51">
        <f>G95*(1-0.656625944232025)</f>
        <v>0</v>
      </c>
    </row>
    <row r="96" spans="1:32" ht="12.75">
      <c r="A96" s="10" t="s">
        <v>368</v>
      </c>
      <c r="B96" s="10"/>
      <c r="C96" s="10" t="s">
        <v>369</v>
      </c>
      <c r="D96" s="10" t="s">
        <v>370</v>
      </c>
      <c r="E96" s="10" t="s">
        <v>162</v>
      </c>
      <c r="F96" s="51">
        <v>18</v>
      </c>
      <c r="H96" s="51">
        <f>ROUND(F96*AE96,2)</f>
        <v>0</v>
      </c>
      <c r="I96" s="51">
        <f>J96-H96</f>
        <v>0</v>
      </c>
      <c r="J96" s="51">
        <f>ROUND(F96*G96,2)</f>
        <v>0</v>
      </c>
      <c r="K96" s="51">
        <v>0.00012</v>
      </c>
      <c r="L96" s="51">
        <f>F96*K96</f>
        <v>0.00216</v>
      </c>
      <c r="N96" s="74" t="s">
        <v>159</v>
      </c>
      <c r="O96" s="51">
        <f>IF(N96="5",I96,0)</f>
        <v>0</v>
      </c>
      <c r="Z96" s="51">
        <f>IF(AD96=0,J96,0)</f>
        <v>0</v>
      </c>
      <c r="AA96" s="51">
        <f>IF(AD96=10,J96,0)</f>
        <v>0</v>
      </c>
      <c r="AB96" s="51">
        <f>IF(AD96=20,J96,0)</f>
        <v>0</v>
      </c>
      <c r="AD96" s="51">
        <v>20</v>
      </c>
      <c r="AE96" s="51">
        <f>G96*0.928445299283943</f>
        <v>0</v>
      </c>
      <c r="AF96" s="51">
        <f>G96*(1-0.928445299283943)</f>
        <v>0</v>
      </c>
    </row>
    <row r="97" spans="1:32" ht="12.75">
      <c r="A97" s="10" t="s">
        <v>371</v>
      </c>
      <c r="B97" s="10"/>
      <c r="C97" s="10" t="s">
        <v>372</v>
      </c>
      <c r="D97" s="10" t="s">
        <v>373</v>
      </c>
      <c r="E97" s="10" t="s">
        <v>231</v>
      </c>
      <c r="F97" s="51">
        <v>1808.33</v>
      </c>
      <c r="H97" s="51">
        <f>ROUND(F97*AE97,2)</f>
        <v>0</v>
      </c>
      <c r="I97" s="51">
        <f>J97-H97</f>
        <v>0</v>
      </c>
      <c r="J97" s="51">
        <f>ROUND(F97*G97,2)</f>
        <v>0</v>
      </c>
      <c r="K97" s="51">
        <v>0</v>
      </c>
      <c r="L97" s="51">
        <f>F97*K97</f>
        <v>0</v>
      </c>
      <c r="N97" s="74" t="s">
        <v>173</v>
      </c>
      <c r="O97" s="51">
        <f>IF(N97="5",I97,0)</f>
        <v>0</v>
      </c>
      <c r="Z97" s="51">
        <f>IF(AD97=0,J97,0)</f>
        <v>0</v>
      </c>
      <c r="AA97" s="51">
        <f>IF(AD97=10,J97,0)</f>
        <v>0</v>
      </c>
      <c r="AB97" s="51">
        <f>IF(AD97=20,J97,0)</f>
        <v>0</v>
      </c>
      <c r="AD97" s="51">
        <v>20</v>
      </c>
      <c r="AE97" s="51">
        <f>G97*0</f>
        <v>0</v>
      </c>
      <c r="AF97" s="51">
        <f>G97*(1-0)</f>
        <v>0</v>
      </c>
    </row>
    <row r="98" spans="1:37" ht="12.75">
      <c r="A98" s="75"/>
      <c r="B98" s="75"/>
      <c r="C98" s="76" t="s">
        <v>98</v>
      </c>
      <c r="D98" s="76" t="s">
        <v>99</v>
      </c>
      <c r="E98" s="76"/>
      <c r="F98" s="76"/>
      <c r="G98" s="76"/>
      <c r="H98" s="73">
        <f>SUM(H99:H102)</f>
        <v>0</v>
      </c>
      <c r="I98" s="73">
        <f>SUM(I99:I102)</f>
        <v>0</v>
      </c>
      <c r="J98" s="73">
        <f>H98+I98</f>
        <v>0</v>
      </c>
      <c r="K98" s="68"/>
      <c r="L98" s="73">
        <f>SUM(L99:L102)</f>
        <v>0</v>
      </c>
      <c r="P98" s="73">
        <f>IF(Q98="PR",J98,SUM(O99:O102))</f>
        <v>0</v>
      </c>
      <c r="Q98" s="68" t="s">
        <v>221</v>
      </c>
      <c r="R98" s="73">
        <f>IF(Q98="HS",H98,0)</f>
        <v>0</v>
      </c>
      <c r="S98" s="73">
        <f>IF(Q98="HS",I98-P98,0)</f>
        <v>0</v>
      </c>
      <c r="T98" s="73">
        <f>IF(Q98="PS",H98,0)</f>
        <v>0</v>
      </c>
      <c r="U98" s="73">
        <f>IF(Q98="PS",I98-P98,0)</f>
        <v>0</v>
      </c>
      <c r="V98" s="73">
        <f>IF(Q98="MP",H98,0)</f>
        <v>0</v>
      </c>
      <c r="W98" s="73">
        <f>IF(Q98="MP",I98-P98,0)</f>
        <v>0</v>
      </c>
      <c r="X98" s="73">
        <f>IF(Q98="OM",H98,0)</f>
        <v>0</v>
      </c>
      <c r="Y98" s="68"/>
      <c r="AI98" s="73">
        <f>SUM(Z99:Z102)</f>
        <v>0</v>
      </c>
      <c r="AJ98" s="73">
        <f>SUM(AA99:AA102)</f>
        <v>0</v>
      </c>
      <c r="AK98" s="73">
        <f>SUM(AB99:AB102)</f>
        <v>0</v>
      </c>
    </row>
    <row r="99" spans="1:32" ht="12.75">
      <c r="A99" s="10" t="s">
        <v>106</v>
      </c>
      <c r="B99" s="10"/>
      <c r="C99" s="10" t="s">
        <v>374</v>
      </c>
      <c r="D99" s="10" t="s">
        <v>375</v>
      </c>
      <c r="E99" s="10"/>
      <c r="F99" s="51">
        <v>2</v>
      </c>
      <c r="H99" s="51">
        <f>ROUND(F99*AE99,2)</f>
        <v>0</v>
      </c>
      <c r="I99" s="51">
        <f>J99-H99</f>
        <v>0</v>
      </c>
      <c r="J99" s="51">
        <f>ROUND(F99*G99,2)</f>
        <v>0</v>
      </c>
      <c r="K99" s="51">
        <v>0</v>
      </c>
      <c r="L99" s="51">
        <f>F99*K99</f>
        <v>0</v>
      </c>
      <c r="N99" s="74" t="s">
        <v>159</v>
      </c>
      <c r="O99" s="51">
        <f>IF(N99="5",I99,0)</f>
        <v>0</v>
      </c>
      <c r="Z99" s="51">
        <f>IF(AD99=0,J99,0)</f>
        <v>0</v>
      </c>
      <c r="AA99" s="51">
        <f>IF(AD99=10,J99,0)</f>
        <v>0</v>
      </c>
      <c r="AB99" s="51">
        <f>IF(AD99=20,J99,0)</f>
        <v>0</v>
      </c>
      <c r="AD99" s="51">
        <v>20</v>
      </c>
      <c r="AE99" s="51">
        <f>G99*0.942148760330578</f>
        <v>0</v>
      </c>
      <c r="AF99" s="51">
        <f>G99*(1-0.942148760330578)</f>
        <v>0</v>
      </c>
    </row>
    <row r="100" spans="1:32" ht="12.75">
      <c r="A100" s="10" t="s">
        <v>376</v>
      </c>
      <c r="B100" s="10"/>
      <c r="C100" s="10" t="s">
        <v>377</v>
      </c>
      <c r="D100" s="10" t="s">
        <v>378</v>
      </c>
      <c r="E100" s="10" t="s">
        <v>349</v>
      </c>
      <c r="F100" s="51">
        <v>2</v>
      </c>
      <c r="H100" s="51">
        <f>ROUND(F100*AE100,2)</f>
        <v>0</v>
      </c>
      <c r="I100" s="51">
        <f>J100-H100</f>
        <v>0</v>
      </c>
      <c r="J100" s="51">
        <f>ROUND(F100*G100,2)</f>
        <v>0</v>
      </c>
      <c r="K100" s="51">
        <v>0</v>
      </c>
      <c r="L100" s="51">
        <f>F100*K100</f>
        <v>0</v>
      </c>
      <c r="N100" s="74" t="s">
        <v>159</v>
      </c>
      <c r="O100" s="51">
        <f>IF(N100="5",I100,0)</f>
        <v>0</v>
      </c>
      <c r="Z100" s="51">
        <f>IF(AD100=0,J100,0)</f>
        <v>0</v>
      </c>
      <c r="AA100" s="51">
        <f>IF(AD100=10,J100,0)</f>
        <v>0</v>
      </c>
      <c r="AB100" s="51">
        <f>IF(AD100=20,J100,0)</f>
        <v>0</v>
      </c>
      <c r="AD100" s="51">
        <v>20</v>
      </c>
      <c r="AE100" s="51">
        <f>G100*0.8</f>
        <v>0</v>
      </c>
      <c r="AF100" s="51">
        <f>G100*(1-0.8)</f>
        <v>0</v>
      </c>
    </row>
    <row r="101" spans="1:32" ht="12.75">
      <c r="A101" s="10" t="s">
        <v>379</v>
      </c>
      <c r="B101" s="10"/>
      <c r="C101" s="10" t="s">
        <v>380</v>
      </c>
      <c r="D101" s="10" t="s">
        <v>381</v>
      </c>
      <c r="E101" s="10" t="s">
        <v>349</v>
      </c>
      <c r="F101" s="51">
        <v>2</v>
      </c>
      <c r="H101" s="51">
        <f>ROUND(F101*AE101,2)</f>
        <v>0</v>
      </c>
      <c r="I101" s="51">
        <f>J101-H101</f>
        <v>0</v>
      </c>
      <c r="J101" s="51">
        <f>ROUND(F101*G101,2)</f>
        <v>0</v>
      </c>
      <c r="K101" s="51">
        <v>0</v>
      </c>
      <c r="L101" s="51">
        <f>F101*K101</f>
        <v>0</v>
      </c>
      <c r="N101" s="74" t="s">
        <v>159</v>
      </c>
      <c r="O101" s="51">
        <f>IF(N101="5",I101,0)</f>
        <v>0</v>
      </c>
      <c r="Z101" s="51">
        <f>IF(AD101=0,J101,0)</f>
        <v>0</v>
      </c>
      <c r="AA101" s="51">
        <f>IF(AD101=10,J101,0)</f>
        <v>0</v>
      </c>
      <c r="AB101" s="51">
        <f>IF(AD101=20,J101,0)</f>
        <v>0</v>
      </c>
      <c r="AD101" s="51">
        <v>20</v>
      </c>
      <c r="AE101" s="51">
        <f>G101*0</f>
        <v>0</v>
      </c>
      <c r="AF101" s="51">
        <f>G101*(1-0)</f>
        <v>0</v>
      </c>
    </row>
    <row r="102" spans="1:32" ht="12.75">
      <c r="A102" s="10" t="s">
        <v>382</v>
      </c>
      <c r="B102" s="10"/>
      <c r="C102" s="10" t="s">
        <v>383</v>
      </c>
      <c r="D102" s="10" t="s">
        <v>384</v>
      </c>
      <c r="E102" s="10" t="s">
        <v>231</v>
      </c>
      <c r="F102" s="51">
        <v>1515.72</v>
      </c>
      <c r="H102" s="51">
        <f>ROUND(F102*AE102,2)</f>
        <v>0</v>
      </c>
      <c r="I102" s="51">
        <f>J102-H102</f>
        <v>0</v>
      </c>
      <c r="J102" s="51">
        <f>ROUND(F102*G102,2)</f>
        <v>0</v>
      </c>
      <c r="K102" s="51">
        <v>0</v>
      </c>
      <c r="L102" s="51">
        <f>F102*K102</f>
        <v>0</v>
      </c>
      <c r="N102" s="74" t="s">
        <v>173</v>
      </c>
      <c r="O102" s="51">
        <f>IF(N102="5",I102,0)</f>
        <v>0</v>
      </c>
      <c r="Z102" s="51">
        <f>IF(AD102=0,J102,0)</f>
        <v>0</v>
      </c>
      <c r="AA102" s="51">
        <f>IF(AD102=10,J102,0)</f>
        <v>0</v>
      </c>
      <c r="AB102" s="51">
        <f>IF(AD102=20,J102,0)</f>
        <v>0</v>
      </c>
      <c r="AD102" s="51">
        <v>20</v>
      </c>
      <c r="AE102" s="51">
        <f>G102*0</f>
        <v>0</v>
      </c>
      <c r="AF102" s="51">
        <f>G102*(1-0)</f>
        <v>0</v>
      </c>
    </row>
    <row r="103" spans="1:37" ht="12.75">
      <c r="A103" s="75"/>
      <c r="B103" s="75"/>
      <c r="C103" s="76" t="s">
        <v>100</v>
      </c>
      <c r="D103" s="76" t="s">
        <v>101</v>
      </c>
      <c r="E103" s="76"/>
      <c r="F103" s="76"/>
      <c r="G103" s="76"/>
      <c r="H103" s="73">
        <f>SUM(H104:H113)</f>
        <v>0</v>
      </c>
      <c r="I103" s="73">
        <f>SUM(I104:I113)</f>
        <v>0</v>
      </c>
      <c r="J103" s="73">
        <f>H103+I103</f>
        <v>0</v>
      </c>
      <c r="K103" s="68"/>
      <c r="L103" s="73">
        <f>SUM(L104:L113)</f>
        <v>1.67985</v>
      </c>
      <c r="P103" s="73">
        <f>IF(Q103="PR",J103,SUM(O104:O113))</f>
        <v>0</v>
      </c>
      <c r="Q103" s="68" t="s">
        <v>221</v>
      </c>
      <c r="R103" s="73">
        <f>IF(Q103="HS",H103,0)</f>
        <v>0</v>
      </c>
      <c r="S103" s="73">
        <f>IF(Q103="HS",I103-P103,0)</f>
        <v>0</v>
      </c>
      <c r="T103" s="73">
        <f>IF(Q103="PS",H103,0)</f>
        <v>0</v>
      </c>
      <c r="U103" s="73">
        <f>IF(Q103="PS",I103-P103,0)</f>
        <v>0</v>
      </c>
      <c r="V103" s="73">
        <f>IF(Q103="MP",H103,0)</f>
        <v>0</v>
      </c>
      <c r="W103" s="73">
        <f>IF(Q103="MP",I103-P103,0)</f>
        <v>0</v>
      </c>
      <c r="X103" s="73">
        <f>IF(Q103="OM",H103,0)</f>
        <v>0</v>
      </c>
      <c r="Y103" s="68"/>
      <c r="AI103" s="73">
        <f>SUM(Z104:Z113)</f>
        <v>0</v>
      </c>
      <c r="AJ103" s="73">
        <f>SUM(AA104:AA113)</f>
        <v>0</v>
      </c>
      <c r="AK103" s="73">
        <f>SUM(AB104:AB113)</f>
        <v>0</v>
      </c>
    </row>
    <row r="104" spans="1:32" ht="12.75">
      <c r="A104" s="10" t="s">
        <v>385</v>
      </c>
      <c r="B104" s="10"/>
      <c r="C104" s="10" t="s">
        <v>386</v>
      </c>
      <c r="D104" s="10" t="s">
        <v>387</v>
      </c>
      <c r="E104" s="10" t="s">
        <v>190</v>
      </c>
      <c r="F104" s="51">
        <v>204</v>
      </c>
      <c r="H104" s="51">
        <f>ROUND(F104*AE104,2)</f>
        <v>0</v>
      </c>
      <c r="I104" s="51">
        <f>J104-H104</f>
        <v>0</v>
      </c>
      <c r="J104" s="51">
        <f>ROUND(F104*G104,2)</f>
        <v>0</v>
      </c>
      <c r="K104" s="51">
        <v>0.00013</v>
      </c>
      <c r="L104" s="51">
        <f>F104*K104</f>
        <v>0.02652</v>
      </c>
      <c r="N104" s="74" t="s">
        <v>159</v>
      </c>
      <c r="O104" s="51">
        <f>IF(N104="5",I104,0)</f>
        <v>0</v>
      </c>
      <c r="Z104" s="51">
        <f>IF(AD104=0,J104,0)</f>
        <v>0</v>
      </c>
      <c r="AA104" s="51">
        <f>IF(AD104=10,J104,0)</f>
        <v>0</v>
      </c>
      <c r="AB104" s="51">
        <f>IF(AD104=20,J104,0)</f>
        <v>0</v>
      </c>
      <c r="AD104" s="51">
        <v>20</v>
      </c>
      <c r="AE104" s="51">
        <f>G104*0.510314875135722</f>
        <v>0</v>
      </c>
      <c r="AF104" s="51">
        <f>G104*(1-0.510314875135722)</f>
        <v>0</v>
      </c>
    </row>
    <row r="105" spans="1:32" ht="12.75">
      <c r="A105" s="10" t="s">
        <v>388</v>
      </c>
      <c r="B105" s="10"/>
      <c r="C105" s="10" t="s">
        <v>300</v>
      </c>
      <c r="D105" s="10" t="s">
        <v>301</v>
      </c>
      <c r="E105" s="10" t="s">
        <v>190</v>
      </c>
      <c r="F105" s="51">
        <v>49</v>
      </c>
      <c r="H105" s="51">
        <f>ROUND(F105*AE105,2)</f>
        <v>0</v>
      </c>
      <c r="I105" s="51">
        <f>J105-H105</f>
        <v>0</v>
      </c>
      <c r="J105" s="51">
        <f>ROUND(F105*G105,2)</f>
        <v>0</v>
      </c>
      <c r="K105" s="51">
        <v>0.00016</v>
      </c>
      <c r="L105" s="51">
        <f>F105*K105</f>
        <v>0.007840000000000001</v>
      </c>
      <c r="N105" s="74" t="s">
        <v>159</v>
      </c>
      <c r="O105" s="51">
        <f>IF(N105="5",I105,0)</f>
        <v>0</v>
      </c>
      <c r="Z105" s="51">
        <f>IF(AD105=0,J105,0)</f>
        <v>0</v>
      </c>
      <c r="AA105" s="51">
        <f>IF(AD105=10,J105,0)</f>
        <v>0</v>
      </c>
      <c r="AB105" s="51">
        <f>IF(AD105=20,J105,0)</f>
        <v>0</v>
      </c>
      <c r="AD105" s="51">
        <v>20</v>
      </c>
      <c r="AE105" s="51">
        <f>G105*0.523907910271547</f>
        <v>0</v>
      </c>
      <c r="AF105" s="51">
        <f>G105*(1-0.523907910271547)</f>
        <v>0</v>
      </c>
    </row>
    <row r="106" spans="1:32" ht="12.75">
      <c r="A106" s="10" t="s">
        <v>389</v>
      </c>
      <c r="B106" s="10"/>
      <c r="C106" s="10" t="s">
        <v>390</v>
      </c>
      <c r="D106" s="10" t="s">
        <v>391</v>
      </c>
      <c r="E106" s="10" t="s">
        <v>190</v>
      </c>
      <c r="F106" s="51">
        <v>7</v>
      </c>
      <c r="H106" s="51">
        <f>ROUND(F106*AE106,2)</f>
        <v>0</v>
      </c>
      <c r="I106" s="51">
        <f>J106-H106</f>
        <v>0</v>
      </c>
      <c r="J106" s="51">
        <f>ROUND(F106*G106,2)</f>
        <v>0</v>
      </c>
      <c r="K106" s="51">
        <v>0.00023</v>
      </c>
      <c r="L106" s="51">
        <f>F106*K106</f>
        <v>0.00161</v>
      </c>
      <c r="N106" s="74" t="s">
        <v>159</v>
      </c>
      <c r="O106" s="51">
        <f>IF(N106="5",I106,0)</f>
        <v>0</v>
      </c>
      <c r="Z106" s="51">
        <f>IF(AD106=0,J106,0)</f>
        <v>0</v>
      </c>
      <c r="AA106" s="51">
        <f>IF(AD106=10,J106,0)</f>
        <v>0</v>
      </c>
      <c r="AB106" s="51">
        <f>IF(AD106=20,J106,0)</f>
        <v>0</v>
      </c>
      <c r="AD106" s="51">
        <v>20</v>
      </c>
      <c r="AE106" s="51">
        <f>G106*0.505211526670754</f>
        <v>0</v>
      </c>
      <c r="AF106" s="51">
        <f>G106*(1-0.505211526670754)</f>
        <v>0</v>
      </c>
    </row>
    <row r="107" spans="1:32" ht="12.75">
      <c r="A107" s="10" t="s">
        <v>392</v>
      </c>
      <c r="B107" s="10"/>
      <c r="C107" s="10" t="s">
        <v>393</v>
      </c>
      <c r="D107" s="10" t="s">
        <v>394</v>
      </c>
      <c r="E107" s="10" t="s">
        <v>190</v>
      </c>
      <c r="F107" s="51">
        <v>54</v>
      </c>
      <c r="H107" s="51">
        <f>ROUND(F107*AE107,2)</f>
        <v>0</v>
      </c>
      <c r="I107" s="51">
        <f>J107-H107</f>
        <v>0</v>
      </c>
      <c r="J107" s="51">
        <f>ROUND(F107*G107,2)</f>
        <v>0</v>
      </c>
      <c r="K107" s="51">
        <v>0.00624</v>
      </c>
      <c r="L107" s="51">
        <f>F107*K107</f>
        <v>0.33696</v>
      </c>
      <c r="N107" s="74" t="s">
        <v>159</v>
      </c>
      <c r="O107" s="51">
        <f>IF(N107="5",I107,0)</f>
        <v>0</v>
      </c>
      <c r="Z107" s="51">
        <f>IF(AD107=0,J107,0)</f>
        <v>0</v>
      </c>
      <c r="AA107" s="51">
        <f>IF(AD107=10,J107,0)</f>
        <v>0</v>
      </c>
      <c r="AB107" s="51">
        <f>IF(AD107=20,J107,0)</f>
        <v>0</v>
      </c>
      <c r="AD107" s="51">
        <v>20</v>
      </c>
      <c r="AE107" s="51">
        <f>G107*0.44758617985019</f>
        <v>0</v>
      </c>
      <c r="AF107" s="51">
        <f>G107*(1-0.44758617985019)</f>
        <v>0</v>
      </c>
    </row>
    <row r="108" spans="1:32" ht="12.75">
      <c r="A108" s="10" t="s">
        <v>395</v>
      </c>
      <c r="B108" s="10"/>
      <c r="C108" s="10" t="s">
        <v>396</v>
      </c>
      <c r="D108" s="10" t="s">
        <v>397</v>
      </c>
      <c r="E108" s="10" t="s">
        <v>190</v>
      </c>
      <c r="F108" s="51">
        <v>55</v>
      </c>
      <c r="H108" s="51">
        <f>ROUND(F108*AE108,2)</f>
        <v>0</v>
      </c>
      <c r="I108" s="51">
        <f>J108-H108</f>
        <v>0</v>
      </c>
      <c r="J108" s="51">
        <f>ROUND(F108*G108,2)</f>
        <v>0</v>
      </c>
      <c r="K108" s="51">
        <v>0.00587</v>
      </c>
      <c r="L108" s="51">
        <f>F108*K108</f>
        <v>0.32285</v>
      </c>
      <c r="N108" s="74" t="s">
        <v>159</v>
      </c>
      <c r="O108" s="51">
        <f>IF(N108="5",I108,0)</f>
        <v>0</v>
      </c>
      <c r="Z108" s="51">
        <f>IF(AD108=0,J108,0)</f>
        <v>0</v>
      </c>
      <c r="AA108" s="51">
        <f>IF(AD108=10,J108,0)</f>
        <v>0</v>
      </c>
      <c r="AB108" s="51">
        <f>IF(AD108=20,J108,0)</f>
        <v>0</v>
      </c>
      <c r="AD108" s="51">
        <v>20</v>
      </c>
      <c r="AE108" s="51">
        <f>G108*0.452256550053006</f>
        <v>0</v>
      </c>
      <c r="AF108" s="51">
        <f>G108*(1-0.452256550053006)</f>
        <v>0</v>
      </c>
    </row>
    <row r="109" spans="1:32" ht="12.75">
      <c r="A109" s="10" t="s">
        <v>398</v>
      </c>
      <c r="B109" s="10"/>
      <c r="C109" s="10" t="s">
        <v>399</v>
      </c>
      <c r="D109" s="10" t="s">
        <v>400</v>
      </c>
      <c r="E109" s="10" t="s">
        <v>190</v>
      </c>
      <c r="F109" s="51">
        <v>95</v>
      </c>
      <c r="H109" s="51">
        <f>ROUND(F109*AE109,2)</f>
        <v>0</v>
      </c>
      <c r="I109" s="51">
        <f>J109-H109</f>
        <v>0</v>
      </c>
      <c r="J109" s="51">
        <f>ROUND(F109*G109,2)</f>
        <v>0</v>
      </c>
      <c r="K109" s="51">
        <v>0.00646</v>
      </c>
      <c r="L109" s="51">
        <f>F109*K109</f>
        <v>0.6136999999999999</v>
      </c>
      <c r="N109" s="74" t="s">
        <v>159</v>
      </c>
      <c r="O109" s="51">
        <f>IF(N109="5",I109,0)</f>
        <v>0</v>
      </c>
      <c r="Z109" s="51">
        <f>IF(AD109=0,J109,0)</f>
        <v>0</v>
      </c>
      <c r="AA109" s="51">
        <f>IF(AD109=10,J109,0)</f>
        <v>0</v>
      </c>
      <c r="AB109" s="51">
        <f>IF(AD109=20,J109,0)</f>
        <v>0</v>
      </c>
      <c r="AD109" s="51">
        <v>20</v>
      </c>
      <c r="AE109" s="51">
        <f>G109*0.503245015388733</f>
        <v>0</v>
      </c>
      <c r="AF109" s="51">
        <f>G109*(1-0.503245015388733)</f>
        <v>0</v>
      </c>
    </row>
    <row r="110" spans="1:32" ht="12.75">
      <c r="A110" s="10" t="s">
        <v>401</v>
      </c>
      <c r="B110" s="10"/>
      <c r="C110" s="10" t="s">
        <v>402</v>
      </c>
      <c r="D110" s="10" t="s">
        <v>403</v>
      </c>
      <c r="E110" s="10" t="s">
        <v>190</v>
      </c>
      <c r="F110" s="51">
        <v>49</v>
      </c>
      <c r="H110" s="51">
        <f>ROUND(F110*AE110,2)</f>
        <v>0</v>
      </c>
      <c r="I110" s="51">
        <f>J110-H110</f>
        <v>0</v>
      </c>
      <c r="J110" s="51">
        <f>ROUND(F110*G110,2)</f>
        <v>0</v>
      </c>
      <c r="K110" s="51">
        <v>0.0066</v>
      </c>
      <c r="L110" s="51">
        <f>F110*K110</f>
        <v>0.3234</v>
      </c>
      <c r="N110" s="74" t="s">
        <v>159</v>
      </c>
      <c r="O110" s="51">
        <f>IF(N110="5",I110,0)</f>
        <v>0</v>
      </c>
      <c r="Z110" s="51">
        <f>IF(AD110=0,J110,0)</f>
        <v>0</v>
      </c>
      <c r="AA110" s="51">
        <f>IF(AD110=10,J110,0)</f>
        <v>0</v>
      </c>
      <c r="AB110" s="51">
        <f>IF(AD110=20,J110,0)</f>
        <v>0</v>
      </c>
      <c r="AD110" s="51">
        <v>20</v>
      </c>
      <c r="AE110" s="51">
        <f>G110*0.540210106864698</f>
        <v>0</v>
      </c>
      <c r="AF110" s="51">
        <f>G110*(1-0.540210106864698)</f>
        <v>0</v>
      </c>
    </row>
    <row r="111" spans="1:32" ht="12.75">
      <c r="A111" s="10" t="s">
        <v>404</v>
      </c>
      <c r="B111" s="10"/>
      <c r="C111" s="10" t="s">
        <v>405</v>
      </c>
      <c r="D111" s="10" t="s">
        <v>406</v>
      </c>
      <c r="E111" s="10" t="s">
        <v>190</v>
      </c>
      <c r="F111" s="51">
        <v>7</v>
      </c>
      <c r="H111" s="51">
        <f>ROUND(F111*AE111,2)</f>
        <v>0</v>
      </c>
      <c r="I111" s="51">
        <f>J111-H111</f>
        <v>0</v>
      </c>
      <c r="J111" s="51">
        <f>ROUND(F111*G111,2)</f>
        <v>0</v>
      </c>
      <c r="K111" s="51">
        <v>0.00671</v>
      </c>
      <c r="L111" s="51">
        <f>F111*K111</f>
        <v>0.04697</v>
      </c>
      <c r="N111" s="74" t="s">
        <v>159</v>
      </c>
      <c r="O111" s="51">
        <f>IF(N111="5",I111,0)</f>
        <v>0</v>
      </c>
      <c r="Z111" s="51">
        <f>IF(AD111=0,J111,0)</f>
        <v>0</v>
      </c>
      <c r="AA111" s="51">
        <f>IF(AD111=10,J111,0)</f>
        <v>0</v>
      </c>
      <c r="AB111" s="51">
        <f>IF(AD111=20,J111,0)</f>
        <v>0</v>
      </c>
      <c r="AD111" s="51">
        <v>20</v>
      </c>
      <c r="AE111" s="51">
        <f>G111*0.679049367605059</f>
        <v>0</v>
      </c>
      <c r="AF111" s="51">
        <f>G111*(1-0.679049367605059)</f>
        <v>0</v>
      </c>
    </row>
    <row r="112" spans="1:32" ht="12.75">
      <c r="A112" s="10" t="s">
        <v>407</v>
      </c>
      <c r="B112" s="10"/>
      <c r="C112" s="10" t="s">
        <v>408</v>
      </c>
      <c r="D112" s="10" t="s">
        <v>409</v>
      </c>
      <c r="E112" s="10" t="s">
        <v>410</v>
      </c>
      <c r="F112" s="51">
        <v>72</v>
      </c>
      <c r="H112" s="51">
        <f>ROUND(F112*AE112,2)</f>
        <v>0</v>
      </c>
      <c r="I112" s="51">
        <f>J112-H112</f>
        <v>0</v>
      </c>
      <c r="J112" s="51">
        <f>ROUND(F112*G112,2)</f>
        <v>0</v>
      </c>
      <c r="K112" s="51">
        <v>0</v>
      </c>
      <c r="L112" s="51">
        <f>F112*K112</f>
        <v>0</v>
      </c>
      <c r="N112" s="74" t="s">
        <v>159</v>
      </c>
      <c r="O112" s="51">
        <f>IF(N112="5",I112,0)</f>
        <v>0</v>
      </c>
      <c r="Z112" s="51">
        <f>IF(AD112=0,J112,0)</f>
        <v>0</v>
      </c>
      <c r="AA112" s="51">
        <f>IF(AD112=10,J112,0)</f>
        <v>0</v>
      </c>
      <c r="AB112" s="51">
        <f>IF(AD112=20,J112,0)</f>
        <v>0</v>
      </c>
      <c r="AD112" s="51">
        <v>20</v>
      </c>
      <c r="AE112" s="51">
        <f>G112*0</f>
        <v>0</v>
      </c>
      <c r="AF112" s="51">
        <f>G112*(1-0)</f>
        <v>0</v>
      </c>
    </row>
    <row r="113" spans="1:32" ht="12.75">
      <c r="A113" s="10" t="s">
        <v>411</v>
      </c>
      <c r="B113" s="10"/>
      <c r="C113" s="10" t="s">
        <v>412</v>
      </c>
      <c r="D113" s="10" t="s">
        <v>413</v>
      </c>
      <c r="E113" s="10" t="s">
        <v>231</v>
      </c>
      <c r="F113" s="51">
        <v>1083.15</v>
      </c>
      <c r="H113" s="51">
        <f>ROUND(F113*AE113,2)</f>
        <v>0</v>
      </c>
      <c r="I113" s="51">
        <f>J113-H113</f>
        <v>0</v>
      </c>
      <c r="J113" s="51">
        <f>ROUND(F113*G113,2)</f>
        <v>0</v>
      </c>
      <c r="K113" s="51">
        <v>0</v>
      </c>
      <c r="L113" s="51">
        <f>F113*K113</f>
        <v>0</v>
      </c>
      <c r="N113" s="74" t="s">
        <v>173</v>
      </c>
      <c r="O113" s="51">
        <f>IF(N113="5",I113,0)</f>
        <v>0</v>
      </c>
      <c r="Z113" s="51">
        <f>IF(AD113=0,J113,0)</f>
        <v>0</v>
      </c>
      <c r="AA113" s="51">
        <f>IF(AD113=10,J113,0)</f>
        <v>0</v>
      </c>
      <c r="AB113" s="51">
        <f>IF(AD113=20,J113,0)</f>
        <v>0</v>
      </c>
      <c r="AD113" s="51">
        <v>20</v>
      </c>
      <c r="AE113" s="51">
        <f>G113*0</f>
        <v>0</v>
      </c>
      <c r="AF113" s="51">
        <f>G113*(1-0)</f>
        <v>0</v>
      </c>
    </row>
    <row r="114" spans="1:37" ht="12.75">
      <c r="A114" s="75"/>
      <c r="B114" s="75"/>
      <c r="C114" s="76" t="s">
        <v>102</v>
      </c>
      <c r="D114" s="76" t="s">
        <v>103</v>
      </c>
      <c r="E114" s="76"/>
      <c r="F114" s="76"/>
      <c r="G114" s="76"/>
      <c r="H114" s="73">
        <f>SUM(H115:H122)</f>
        <v>0</v>
      </c>
      <c r="I114" s="73">
        <f>SUM(I115:I122)</f>
        <v>0</v>
      </c>
      <c r="J114" s="73">
        <f>H114+I114</f>
        <v>0</v>
      </c>
      <c r="K114" s="68"/>
      <c r="L114" s="73">
        <f>SUM(L115:L122)</f>
        <v>0.027200000000000002</v>
      </c>
      <c r="P114" s="73">
        <f>IF(Q114="PR",J114,SUM(O115:O122))</f>
        <v>0</v>
      </c>
      <c r="Q114" s="68" t="s">
        <v>221</v>
      </c>
      <c r="R114" s="73">
        <f>IF(Q114="HS",H114,0)</f>
        <v>0</v>
      </c>
      <c r="S114" s="73">
        <f>IF(Q114="HS",I114-P114,0)</f>
        <v>0</v>
      </c>
      <c r="T114" s="73">
        <f>IF(Q114="PS",H114,0)</f>
        <v>0</v>
      </c>
      <c r="U114" s="73">
        <f>IF(Q114="PS",I114-P114,0)</f>
        <v>0</v>
      </c>
      <c r="V114" s="73">
        <f>IF(Q114="MP",H114,0)</f>
        <v>0</v>
      </c>
      <c r="W114" s="73">
        <f>IF(Q114="MP",I114-P114,0)</f>
        <v>0</v>
      </c>
      <c r="X114" s="73">
        <f>IF(Q114="OM",H114,0)</f>
        <v>0</v>
      </c>
      <c r="Y114" s="68"/>
      <c r="AI114" s="73">
        <f>SUM(Z115:Z122)</f>
        <v>0</v>
      </c>
      <c r="AJ114" s="73">
        <f>SUM(AA115:AA122)</f>
        <v>0</v>
      </c>
      <c r="AK114" s="73">
        <f>SUM(AB115:AB122)</f>
        <v>0</v>
      </c>
    </row>
    <row r="115" spans="1:32" ht="12.75">
      <c r="A115" s="10" t="s">
        <v>414</v>
      </c>
      <c r="B115" s="10"/>
      <c r="C115" s="10" t="s">
        <v>415</v>
      </c>
      <c r="D115" s="10" t="s">
        <v>416</v>
      </c>
      <c r="E115" s="10" t="s">
        <v>162</v>
      </c>
      <c r="F115" s="51">
        <v>4</v>
      </c>
      <c r="H115" s="51">
        <f>ROUND(F115*AE115,2)</f>
        <v>0</v>
      </c>
      <c r="I115" s="51">
        <f>J115-H115</f>
        <v>0</v>
      </c>
      <c r="J115" s="51">
        <f>ROUND(F115*G115,2)</f>
        <v>0</v>
      </c>
      <c r="K115" s="51">
        <v>3E-05</v>
      </c>
      <c r="L115" s="51">
        <f>F115*K115</f>
        <v>0.00012</v>
      </c>
      <c r="N115" s="74" t="s">
        <v>159</v>
      </c>
      <c r="O115" s="51">
        <f>IF(N115="5",I115,0)</f>
        <v>0</v>
      </c>
      <c r="Z115" s="51">
        <f>IF(AD115=0,J115,0)</f>
        <v>0</v>
      </c>
      <c r="AA115" s="51">
        <f>IF(AD115=10,J115,0)</f>
        <v>0</v>
      </c>
      <c r="AB115" s="51">
        <f>IF(AD115=20,J115,0)</f>
        <v>0</v>
      </c>
      <c r="AD115" s="51">
        <v>20</v>
      </c>
      <c r="AE115" s="51">
        <f>G115*0.755989264057789</f>
        <v>0</v>
      </c>
      <c r="AF115" s="51">
        <f>G115*(1-0.755989264057789)</f>
        <v>0</v>
      </c>
    </row>
    <row r="116" spans="1:32" ht="12.75">
      <c r="A116" s="10" t="s">
        <v>417</v>
      </c>
      <c r="B116" s="10"/>
      <c r="C116" s="10" t="s">
        <v>418</v>
      </c>
      <c r="D116" s="10" t="s">
        <v>419</v>
      </c>
      <c r="E116" s="10" t="s">
        <v>162</v>
      </c>
      <c r="F116" s="51">
        <v>1</v>
      </c>
      <c r="H116" s="51">
        <f>ROUND(F116*AE116,2)</f>
        <v>0</v>
      </c>
      <c r="I116" s="51">
        <f>J116-H116</f>
        <v>0</v>
      </c>
      <c r="J116" s="51">
        <f>ROUND(F116*G116,2)</f>
        <v>0</v>
      </c>
      <c r="K116" s="51">
        <v>4E-05</v>
      </c>
      <c r="L116" s="51">
        <f>F116*K116</f>
        <v>4E-05</v>
      </c>
      <c r="N116" s="74" t="s">
        <v>159</v>
      </c>
      <c r="O116" s="51">
        <f>IF(N116="5",I116,0)</f>
        <v>0</v>
      </c>
      <c r="Z116" s="51">
        <f>IF(AD116=0,J116,0)</f>
        <v>0</v>
      </c>
      <c r="AA116" s="51">
        <f>IF(AD116=10,J116,0)</f>
        <v>0</v>
      </c>
      <c r="AB116" s="51">
        <f>IF(AD116=20,J116,0)</f>
        <v>0</v>
      </c>
      <c r="AD116" s="51">
        <v>20</v>
      </c>
      <c r="AE116" s="51">
        <f>G116*0.801002655434484</f>
        <v>0</v>
      </c>
      <c r="AF116" s="51">
        <f>G116*(1-0.801002655434484)</f>
        <v>0</v>
      </c>
    </row>
    <row r="117" spans="1:32" ht="12.75">
      <c r="A117" s="10" t="s">
        <v>420</v>
      </c>
      <c r="B117" s="10"/>
      <c r="C117" s="10" t="s">
        <v>421</v>
      </c>
      <c r="D117" s="10" t="s">
        <v>422</v>
      </c>
      <c r="E117" s="10" t="s">
        <v>162</v>
      </c>
      <c r="F117" s="51">
        <v>29</v>
      </c>
      <c r="H117" s="51">
        <f>ROUND(F117*AE117,2)</f>
        <v>0</v>
      </c>
      <c r="I117" s="51">
        <f>J117-H117</f>
        <v>0</v>
      </c>
      <c r="J117" s="51">
        <f>ROUND(F117*G117,2)</f>
        <v>0</v>
      </c>
      <c r="K117" s="51">
        <v>0.00022</v>
      </c>
      <c r="L117" s="51">
        <f>F117*K117</f>
        <v>0.00638</v>
      </c>
      <c r="N117" s="74" t="s">
        <v>159</v>
      </c>
      <c r="O117" s="51">
        <f>IF(N117="5",I117,0)</f>
        <v>0</v>
      </c>
      <c r="Z117" s="51">
        <f>IF(AD117=0,J117,0)</f>
        <v>0</v>
      </c>
      <c r="AA117" s="51">
        <f>IF(AD117=10,J117,0)</f>
        <v>0</v>
      </c>
      <c r="AB117" s="51">
        <f>IF(AD117=20,J117,0)</f>
        <v>0</v>
      </c>
      <c r="AD117" s="51">
        <v>20</v>
      </c>
      <c r="AE117" s="51">
        <f>G117*0.82957957957958</f>
        <v>0</v>
      </c>
      <c r="AF117" s="51">
        <f>G117*(1-0.82957957957958)</f>
        <v>0</v>
      </c>
    </row>
    <row r="118" spans="1:32" ht="12.75">
      <c r="A118" s="10" t="s">
        <v>423</v>
      </c>
      <c r="B118" s="10"/>
      <c r="C118" s="10" t="s">
        <v>424</v>
      </c>
      <c r="D118" s="10" t="s">
        <v>425</v>
      </c>
      <c r="E118" s="10" t="s">
        <v>162</v>
      </c>
      <c r="F118" s="51">
        <v>29</v>
      </c>
      <c r="H118" s="51">
        <f>ROUND(F118*AE118,2)</f>
        <v>0</v>
      </c>
      <c r="I118" s="51">
        <f>J118-H118</f>
        <v>0</v>
      </c>
      <c r="J118" s="51">
        <f>ROUND(F118*G118,2)</f>
        <v>0</v>
      </c>
      <c r="K118" s="51">
        <v>0.00026</v>
      </c>
      <c r="L118" s="51">
        <f>F118*K118</f>
        <v>0.007539999999999999</v>
      </c>
      <c r="N118" s="74" t="s">
        <v>159</v>
      </c>
      <c r="O118" s="51">
        <f>IF(N118="5",I118,0)</f>
        <v>0</v>
      </c>
      <c r="Z118" s="51">
        <f>IF(AD118=0,J118,0)</f>
        <v>0</v>
      </c>
      <c r="AA118" s="51">
        <f>IF(AD118=10,J118,0)</f>
        <v>0</v>
      </c>
      <c r="AB118" s="51">
        <f>IF(AD118=20,J118,0)</f>
        <v>0</v>
      </c>
      <c r="AD118" s="51">
        <v>20</v>
      </c>
      <c r="AE118" s="51">
        <f>G118*0.925463657547802</f>
        <v>0</v>
      </c>
      <c r="AF118" s="51">
        <f>G118*(1-0.925463657547802)</f>
        <v>0</v>
      </c>
    </row>
    <row r="119" spans="1:32" ht="12.75">
      <c r="A119" s="10" t="s">
        <v>426</v>
      </c>
      <c r="B119" s="10"/>
      <c r="C119" s="10" t="s">
        <v>427</v>
      </c>
      <c r="D119" s="10" t="s">
        <v>428</v>
      </c>
      <c r="E119" s="10" t="s">
        <v>162</v>
      </c>
      <c r="F119" s="51">
        <v>18</v>
      </c>
      <c r="H119" s="51">
        <f>ROUND(F119*AE119,2)</f>
        <v>0</v>
      </c>
      <c r="I119" s="51">
        <f>J119-H119</f>
        <v>0</v>
      </c>
      <c r="J119" s="51">
        <f>ROUND(F119*G119,2)</f>
        <v>0</v>
      </c>
      <c r="K119" s="51">
        <v>0.00032</v>
      </c>
      <c r="L119" s="51">
        <f>F119*K119</f>
        <v>0.00576</v>
      </c>
      <c r="N119" s="74" t="s">
        <v>159</v>
      </c>
      <c r="O119" s="51">
        <f>IF(N119="5",I119,0)</f>
        <v>0</v>
      </c>
      <c r="Z119" s="51">
        <f>IF(AD119=0,J119,0)</f>
        <v>0</v>
      </c>
      <c r="AA119" s="51">
        <f>IF(AD119=10,J119,0)</f>
        <v>0</v>
      </c>
      <c r="AB119" s="51">
        <f>IF(AD119=20,J119,0)</f>
        <v>0</v>
      </c>
      <c r="AD119" s="51">
        <v>20</v>
      </c>
      <c r="AE119" s="51">
        <f>G119*0.879668613336955</f>
        <v>0</v>
      </c>
      <c r="AF119" s="51">
        <f>G119*(1-0.879668613336955)</f>
        <v>0</v>
      </c>
    </row>
    <row r="120" spans="1:32" ht="12.75">
      <c r="A120" s="10" t="s">
        <v>429</v>
      </c>
      <c r="B120" s="10"/>
      <c r="C120" s="10" t="s">
        <v>430</v>
      </c>
      <c r="D120" s="10" t="s">
        <v>431</v>
      </c>
      <c r="E120" s="10" t="s">
        <v>162</v>
      </c>
      <c r="F120" s="51">
        <v>40</v>
      </c>
      <c r="H120" s="51">
        <f>ROUND(F120*AE120,2)</f>
        <v>0</v>
      </c>
      <c r="I120" s="51">
        <f>J120-H120</f>
        <v>0</v>
      </c>
      <c r="J120" s="51">
        <f>ROUND(F120*G120,2)</f>
        <v>0</v>
      </c>
      <c r="K120" s="51">
        <v>0.00011</v>
      </c>
      <c r="L120" s="51">
        <f>F120*K120</f>
        <v>0.0044</v>
      </c>
      <c r="N120" s="74" t="s">
        <v>159</v>
      </c>
      <c r="O120" s="51">
        <f>IF(N120="5",I120,0)</f>
        <v>0</v>
      </c>
      <c r="Z120" s="51">
        <f>IF(AD120=0,J120,0)</f>
        <v>0</v>
      </c>
      <c r="AA120" s="51">
        <f>IF(AD120=10,J120,0)</f>
        <v>0</v>
      </c>
      <c r="AB120" s="51">
        <f>IF(AD120=20,J120,0)</f>
        <v>0</v>
      </c>
      <c r="AD120" s="51">
        <v>20</v>
      </c>
      <c r="AE120" s="51">
        <f>G120*0.883364871838982</f>
        <v>0</v>
      </c>
      <c r="AF120" s="51">
        <f>G120*(1-0.883364871838982)</f>
        <v>0</v>
      </c>
    </row>
    <row r="121" spans="1:32" ht="12.75">
      <c r="A121" s="10" t="s">
        <v>130</v>
      </c>
      <c r="B121" s="10"/>
      <c r="C121" s="10" t="s">
        <v>432</v>
      </c>
      <c r="D121" s="10" t="s">
        <v>433</v>
      </c>
      <c r="E121" s="10" t="s">
        <v>162</v>
      </c>
      <c r="F121" s="51">
        <v>4</v>
      </c>
      <c r="H121" s="51">
        <f>ROUND(F121*AE121,2)</f>
        <v>0</v>
      </c>
      <c r="I121" s="51">
        <f>J121-H121</f>
        <v>0</v>
      </c>
      <c r="J121" s="51">
        <f>ROUND(F121*G121,2)</f>
        <v>0</v>
      </c>
      <c r="K121" s="51">
        <v>0.00074</v>
      </c>
      <c r="L121" s="51">
        <f>F121*K121</f>
        <v>0.00296</v>
      </c>
      <c r="N121" s="74" t="s">
        <v>159</v>
      </c>
      <c r="O121" s="51">
        <f>IF(N121="5",I121,0)</f>
        <v>0</v>
      </c>
      <c r="Z121" s="51">
        <f>IF(AD121=0,J121,0)</f>
        <v>0</v>
      </c>
      <c r="AA121" s="51">
        <f>IF(AD121=10,J121,0)</f>
        <v>0</v>
      </c>
      <c r="AB121" s="51">
        <f>IF(AD121=20,J121,0)</f>
        <v>0</v>
      </c>
      <c r="AD121" s="51">
        <v>20</v>
      </c>
      <c r="AE121" s="51">
        <f>G121*0.764305001928764</f>
        <v>0</v>
      </c>
      <c r="AF121" s="51">
        <f>G121*(1-0.764305001928764)</f>
        <v>0</v>
      </c>
    </row>
    <row r="122" spans="1:32" ht="12.75">
      <c r="A122" s="10" t="s">
        <v>434</v>
      </c>
      <c r="B122" s="10"/>
      <c r="C122" s="10" t="s">
        <v>435</v>
      </c>
      <c r="D122" s="10" t="s">
        <v>436</v>
      </c>
      <c r="E122" s="10" t="s">
        <v>231</v>
      </c>
      <c r="F122" s="51">
        <v>342.85</v>
      </c>
      <c r="H122" s="51">
        <f>ROUND(F122*AE122,2)</f>
        <v>0</v>
      </c>
      <c r="I122" s="51">
        <f>J122-H122</f>
        <v>0</v>
      </c>
      <c r="J122" s="51">
        <f>ROUND(F122*G122,2)</f>
        <v>0</v>
      </c>
      <c r="K122" s="51">
        <v>0</v>
      </c>
      <c r="L122" s="51">
        <f>F122*K122</f>
        <v>0</v>
      </c>
      <c r="N122" s="74" t="s">
        <v>173</v>
      </c>
      <c r="O122" s="51">
        <f>IF(N122="5",I122,0)</f>
        <v>0</v>
      </c>
      <c r="Z122" s="51">
        <f>IF(AD122=0,J122,0)</f>
        <v>0</v>
      </c>
      <c r="AA122" s="51">
        <f>IF(AD122=10,J122,0)</f>
        <v>0</v>
      </c>
      <c r="AB122" s="51">
        <f>IF(AD122=20,J122,0)</f>
        <v>0</v>
      </c>
      <c r="AD122" s="51">
        <v>20</v>
      </c>
      <c r="AE122" s="51">
        <f>G122*0</f>
        <v>0</v>
      </c>
      <c r="AF122" s="51">
        <f>G122*(1-0)</f>
        <v>0</v>
      </c>
    </row>
    <row r="123" spans="1:37" ht="12.75">
      <c r="A123" s="75"/>
      <c r="B123" s="75"/>
      <c r="C123" s="76" t="s">
        <v>104</v>
      </c>
      <c r="D123" s="76" t="s">
        <v>105</v>
      </c>
      <c r="E123" s="76"/>
      <c r="F123" s="76"/>
      <c r="G123" s="76"/>
      <c r="H123" s="73">
        <f>SUM(H124:H130)</f>
        <v>0</v>
      </c>
      <c r="I123" s="73">
        <f>SUM(I124:I130)</f>
        <v>0</v>
      </c>
      <c r="J123" s="73">
        <f>H123+I123</f>
        <v>0</v>
      </c>
      <c r="K123" s="68"/>
      <c r="L123" s="73">
        <f>SUM(L124:L130)</f>
        <v>0.6402</v>
      </c>
      <c r="P123" s="73">
        <f>IF(Q123="PR",J123,SUM(O124:O130))</f>
        <v>0</v>
      </c>
      <c r="Q123" s="68" t="s">
        <v>221</v>
      </c>
      <c r="R123" s="73">
        <f>IF(Q123="HS",H123,0)</f>
        <v>0</v>
      </c>
      <c r="S123" s="73">
        <f>IF(Q123="HS",I123-P123,0)</f>
        <v>0</v>
      </c>
      <c r="T123" s="73">
        <f>IF(Q123="PS",H123,0)</f>
        <v>0</v>
      </c>
      <c r="U123" s="73">
        <f>IF(Q123="PS",I123-P123,0)</f>
        <v>0</v>
      </c>
      <c r="V123" s="73">
        <f>IF(Q123="MP",H123,0)</f>
        <v>0</v>
      </c>
      <c r="W123" s="73">
        <f>IF(Q123="MP",I123-P123,0)</f>
        <v>0</v>
      </c>
      <c r="X123" s="73">
        <f>IF(Q123="OM",H123,0)</f>
        <v>0</v>
      </c>
      <c r="Y123" s="68"/>
      <c r="AI123" s="73">
        <f>SUM(Z124:Z130)</f>
        <v>0</v>
      </c>
      <c r="AJ123" s="73">
        <f>SUM(AA124:AA130)</f>
        <v>0</v>
      </c>
      <c r="AK123" s="73">
        <f>SUM(AB124:AB130)</f>
        <v>0</v>
      </c>
    </row>
    <row r="124" spans="1:32" ht="12.75">
      <c r="A124" s="10" t="s">
        <v>437</v>
      </c>
      <c r="B124" s="10"/>
      <c r="C124" s="10" t="s">
        <v>438</v>
      </c>
      <c r="D124" s="10" t="s">
        <v>439</v>
      </c>
      <c r="E124" s="10" t="s">
        <v>162</v>
      </c>
      <c r="F124" s="51">
        <v>3</v>
      </c>
      <c r="H124" s="51">
        <f>ROUND(F124*AE124,2)</f>
        <v>0</v>
      </c>
      <c r="I124" s="51">
        <f>J124-H124</f>
        <v>0</v>
      </c>
      <c r="J124" s="51">
        <f>ROUND(F124*G124,2)</f>
        <v>0</v>
      </c>
      <c r="K124" s="51">
        <v>0.004</v>
      </c>
      <c r="L124" s="51">
        <f>F124*K124</f>
        <v>0.012</v>
      </c>
      <c r="N124" s="74" t="s">
        <v>159</v>
      </c>
      <c r="O124" s="51">
        <f>IF(N124="5",I124,0)</f>
        <v>0</v>
      </c>
      <c r="Z124" s="51">
        <f>IF(AD124=0,J124,0)</f>
        <v>0</v>
      </c>
      <c r="AA124" s="51">
        <f>IF(AD124=10,J124,0)</f>
        <v>0</v>
      </c>
      <c r="AB124" s="51">
        <f>IF(AD124=20,J124,0)</f>
        <v>0</v>
      </c>
      <c r="AD124" s="51">
        <v>20</v>
      </c>
      <c r="AE124" s="51">
        <f>G124*0.744842963909151</f>
        <v>0</v>
      </c>
      <c r="AF124" s="51">
        <f>G124*(1-0.744842963909151)</f>
        <v>0</v>
      </c>
    </row>
    <row r="125" spans="1:32" ht="12.75">
      <c r="A125" s="10" t="s">
        <v>440</v>
      </c>
      <c r="B125" s="10"/>
      <c r="C125" s="10" t="s">
        <v>441</v>
      </c>
      <c r="D125" s="10" t="s">
        <v>442</v>
      </c>
      <c r="E125" s="10" t="s">
        <v>162</v>
      </c>
      <c r="F125" s="51">
        <v>1</v>
      </c>
      <c r="H125" s="51">
        <f>ROUND(F125*AE125,2)</f>
        <v>0</v>
      </c>
      <c r="I125" s="51">
        <f>J125-H125</f>
        <v>0</v>
      </c>
      <c r="J125" s="51">
        <f>ROUND(F125*G125,2)</f>
        <v>0</v>
      </c>
      <c r="K125" s="51">
        <v>0.00828</v>
      </c>
      <c r="L125" s="51">
        <f>F125*K125</f>
        <v>0.00828</v>
      </c>
      <c r="N125" s="74" t="s">
        <v>159</v>
      </c>
      <c r="O125" s="51">
        <f>IF(N125="5",I125,0)</f>
        <v>0</v>
      </c>
      <c r="Z125" s="51">
        <f>IF(AD125=0,J125,0)</f>
        <v>0</v>
      </c>
      <c r="AA125" s="51">
        <f>IF(AD125=10,J125,0)</f>
        <v>0</v>
      </c>
      <c r="AB125" s="51">
        <f>IF(AD125=20,J125,0)</f>
        <v>0</v>
      </c>
      <c r="AD125" s="51">
        <v>20</v>
      </c>
      <c r="AE125" s="51">
        <f>G125*0.847354449833343</f>
        <v>0</v>
      </c>
      <c r="AF125" s="51">
        <f>G125*(1-0.847354449833343)</f>
        <v>0</v>
      </c>
    </row>
    <row r="126" spans="1:32" ht="12.75">
      <c r="A126" s="10" t="s">
        <v>443</v>
      </c>
      <c r="B126" s="10"/>
      <c r="C126" s="10" t="s">
        <v>444</v>
      </c>
      <c r="D126" s="10" t="s">
        <v>445</v>
      </c>
      <c r="E126" s="10" t="s">
        <v>162</v>
      </c>
      <c r="F126" s="51">
        <v>3</v>
      </c>
      <c r="H126" s="51">
        <f>ROUND(F126*AE126,2)</f>
        <v>0</v>
      </c>
      <c r="I126" s="51">
        <f>J126-H126</f>
        <v>0</v>
      </c>
      <c r="J126" s="51">
        <f>ROUND(F126*G126,2)</f>
        <v>0</v>
      </c>
      <c r="K126" s="51">
        <v>0.01435</v>
      </c>
      <c r="L126" s="51">
        <f>F126*K126</f>
        <v>0.04305</v>
      </c>
      <c r="N126" s="74" t="s">
        <v>159</v>
      </c>
      <c r="O126" s="51">
        <f>IF(N126="5",I126,0)</f>
        <v>0</v>
      </c>
      <c r="Z126" s="51">
        <f>IF(AD126=0,J126,0)</f>
        <v>0</v>
      </c>
      <c r="AA126" s="51">
        <f>IF(AD126=10,J126,0)</f>
        <v>0</v>
      </c>
      <c r="AB126" s="51">
        <f>IF(AD126=20,J126,0)</f>
        <v>0</v>
      </c>
      <c r="AD126" s="51">
        <v>20</v>
      </c>
      <c r="AE126" s="51">
        <f>G126*0.882063882063882</f>
        <v>0</v>
      </c>
      <c r="AF126" s="51">
        <f>G126*(1-0.882063882063882)</f>
        <v>0</v>
      </c>
    </row>
    <row r="127" spans="1:32" ht="12.75">
      <c r="A127" s="10" t="s">
        <v>446</v>
      </c>
      <c r="B127" s="10"/>
      <c r="C127" s="10" t="s">
        <v>447</v>
      </c>
      <c r="D127" s="10" t="s">
        <v>448</v>
      </c>
      <c r="E127" s="10" t="s">
        <v>162</v>
      </c>
      <c r="F127" s="51">
        <v>1</v>
      </c>
      <c r="H127" s="51">
        <f>ROUND(F127*AE127,2)</f>
        <v>0</v>
      </c>
      <c r="I127" s="51">
        <f>J127-H127</f>
        <v>0</v>
      </c>
      <c r="J127" s="51">
        <f>ROUND(F127*G127,2)</f>
        <v>0</v>
      </c>
      <c r="K127" s="51">
        <v>0.02009</v>
      </c>
      <c r="L127" s="51">
        <f>F127*K127</f>
        <v>0.02009</v>
      </c>
      <c r="N127" s="74" t="s">
        <v>159</v>
      </c>
      <c r="O127" s="51">
        <f>IF(N127="5",I127,0)</f>
        <v>0</v>
      </c>
      <c r="Z127" s="51">
        <f>IF(AD127=0,J127,0)</f>
        <v>0</v>
      </c>
      <c r="AA127" s="51">
        <f>IF(AD127=10,J127,0)</f>
        <v>0</v>
      </c>
      <c r="AB127" s="51">
        <f>IF(AD127=20,J127,0)</f>
        <v>0</v>
      </c>
      <c r="AD127" s="51">
        <v>20</v>
      </c>
      <c r="AE127" s="51">
        <f>G127*0.895856252291896</f>
        <v>0</v>
      </c>
      <c r="AF127" s="51">
        <f>G127*(1-0.895856252291896)</f>
        <v>0</v>
      </c>
    </row>
    <row r="128" spans="1:32" ht="12.75">
      <c r="A128" s="10" t="s">
        <v>449</v>
      </c>
      <c r="B128" s="10"/>
      <c r="C128" s="10" t="s">
        <v>450</v>
      </c>
      <c r="D128" s="10" t="s">
        <v>451</v>
      </c>
      <c r="E128" s="10" t="s">
        <v>162</v>
      </c>
      <c r="F128" s="51">
        <v>8</v>
      </c>
      <c r="H128" s="51">
        <f>ROUND(F128*AE128,2)</f>
        <v>0</v>
      </c>
      <c r="I128" s="51">
        <f>J128-H128</f>
        <v>0</v>
      </c>
      <c r="J128" s="51">
        <f>ROUND(F128*G128,2)</f>
        <v>0</v>
      </c>
      <c r="K128" s="51">
        <v>0.02296</v>
      </c>
      <c r="L128" s="51">
        <f>F128*K128</f>
        <v>0.18368</v>
      </c>
      <c r="N128" s="74" t="s">
        <v>159</v>
      </c>
      <c r="O128" s="51">
        <f>IF(N128="5",I128,0)</f>
        <v>0</v>
      </c>
      <c r="Z128" s="51">
        <f>IF(AD128=0,J128,0)</f>
        <v>0</v>
      </c>
      <c r="AA128" s="51">
        <f>IF(AD128=10,J128,0)</f>
        <v>0</v>
      </c>
      <c r="AB128" s="51">
        <f>IF(AD128=20,J128,0)</f>
        <v>0</v>
      </c>
      <c r="AD128" s="51">
        <v>20</v>
      </c>
      <c r="AE128" s="51">
        <f>G128*0.900661970471871</f>
        <v>0</v>
      </c>
      <c r="AF128" s="51">
        <f>G128*(1-0.900661970471871)</f>
        <v>0</v>
      </c>
    </row>
    <row r="129" spans="1:32" ht="12.75">
      <c r="A129" s="10" t="s">
        <v>452</v>
      </c>
      <c r="B129" s="10"/>
      <c r="C129" s="10" t="s">
        <v>453</v>
      </c>
      <c r="D129" s="10" t="s">
        <v>454</v>
      </c>
      <c r="E129" s="10" t="s">
        <v>162</v>
      </c>
      <c r="F129" s="51">
        <v>13</v>
      </c>
      <c r="H129" s="51">
        <f>ROUND(F129*AE129,2)</f>
        <v>0</v>
      </c>
      <c r="I129" s="51">
        <f>J129-H129</f>
        <v>0</v>
      </c>
      <c r="J129" s="51">
        <f>ROUND(F129*G129,2)</f>
        <v>0</v>
      </c>
      <c r="K129" s="51">
        <v>0.0287</v>
      </c>
      <c r="L129" s="51">
        <f>F129*K129</f>
        <v>0.3731</v>
      </c>
      <c r="N129" s="74" t="s">
        <v>159</v>
      </c>
      <c r="O129" s="51">
        <f>IF(N129="5",I129,0)</f>
        <v>0</v>
      </c>
      <c r="Z129" s="51">
        <f>IF(AD129=0,J129,0)</f>
        <v>0</v>
      </c>
      <c r="AA129" s="51">
        <f>IF(AD129=10,J129,0)</f>
        <v>0</v>
      </c>
      <c r="AB129" s="51">
        <f>IF(AD129=20,J129,0)</f>
        <v>0</v>
      </c>
      <c r="AD129" s="51">
        <v>20</v>
      </c>
      <c r="AE129" s="51">
        <f>G129*0.910806169065366</f>
        <v>0</v>
      </c>
      <c r="AF129" s="51">
        <f>G129*(1-0.910806169065366)</f>
        <v>0</v>
      </c>
    </row>
    <row r="130" spans="1:32" ht="12.75">
      <c r="A130" s="10" t="s">
        <v>455</v>
      </c>
      <c r="B130" s="10"/>
      <c r="C130" s="10" t="s">
        <v>456</v>
      </c>
      <c r="D130" s="10" t="s">
        <v>457</v>
      </c>
      <c r="E130" s="10" t="s">
        <v>231</v>
      </c>
      <c r="F130" s="51">
        <v>714.93</v>
      </c>
      <c r="H130" s="51">
        <f>ROUND(F130*AE130,2)</f>
        <v>0</v>
      </c>
      <c r="I130" s="51">
        <f>J130-H130</f>
        <v>0</v>
      </c>
      <c r="J130" s="51">
        <f>ROUND(F130*G130,2)</f>
        <v>0</v>
      </c>
      <c r="K130" s="51">
        <v>0</v>
      </c>
      <c r="L130" s="51">
        <f>F130*K130</f>
        <v>0</v>
      </c>
      <c r="N130" s="74" t="s">
        <v>173</v>
      </c>
      <c r="O130" s="51">
        <f>IF(N130="5",I130,0)</f>
        <v>0</v>
      </c>
      <c r="Z130" s="51">
        <f>IF(AD130=0,J130,0)</f>
        <v>0</v>
      </c>
      <c r="AA130" s="51">
        <f>IF(AD130=10,J130,0)</f>
        <v>0</v>
      </c>
      <c r="AB130" s="51">
        <f>IF(AD130=20,J130,0)</f>
        <v>0</v>
      </c>
      <c r="AD130" s="51">
        <v>20</v>
      </c>
      <c r="AE130" s="51">
        <f>G130*0</f>
        <v>0</v>
      </c>
      <c r="AF130" s="51">
        <f>G130*(1-0)</f>
        <v>0</v>
      </c>
    </row>
    <row r="131" spans="1:37" ht="12.75">
      <c r="A131" s="75"/>
      <c r="B131" s="75"/>
      <c r="C131" s="76" t="s">
        <v>106</v>
      </c>
      <c r="D131" s="76" t="s">
        <v>107</v>
      </c>
      <c r="E131" s="76"/>
      <c r="F131" s="76"/>
      <c r="G131" s="76"/>
      <c r="H131" s="73">
        <f>SUM(H132:H132)</f>
        <v>0</v>
      </c>
      <c r="I131" s="73">
        <f>SUM(I132:I132)</f>
        <v>0</v>
      </c>
      <c r="J131" s="73">
        <f>H131+I131</f>
        <v>0</v>
      </c>
      <c r="K131" s="68"/>
      <c r="L131" s="73">
        <f>SUM(L132:L132)</f>
        <v>0</v>
      </c>
      <c r="P131" s="73">
        <f>IF(Q131="PR",J131,SUM(O132:O132))</f>
        <v>0</v>
      </c>
      <c r="Q131" s="68" t="s">
        <v>221</v>
      </c>
      <c r="R131" s="73">
        <f>IF(Q131="HS",H131,0)</f>
        <v>0</v>
      </c>
      <c r="S131" s="73">
        <f>IF(Q131="HS",I131-P131,0)</f>
        <v>0</v>
      </c>
      <c r="T131" s="73">
        <f>IF(Q131="PS",H131,0)</f>
        <v>0</v>
      </c>
      <c r="U131" s="73">
        <f>IF(Q131="PS",I131-P131,0)</f>
        <v>0</v>
      </c>
      <c r="V131" s="73">
        <f>IF(Q131="MP",H131,0)</f>
        <v>0</v>
      </c>
      <c r="W131" s="73">
        <f>IF(Q131="MP",I131-P131,0)</f>
        <v>0</v>
      </c>
      <c r="X131" s="73">
        <f>IF(Q131="OM",H131,0)</f>
        <v>0</v>
      </c>
      <c r="Y131" s="68"/>
      <c r="AI131" s="73">
        <f>SUM(Z132:Z132)</f>
        <v>0</v>
      </c>
      <c r="AJ131" s="73">
        <f>SUM(AA132:AA132)</f>
        <v>0</v>
      </c>
      <c r="AK131" s="73">
        <f>SUM(AB132:AB132)</f>
        <v>0</v>
      </c>
    </row>
    <row r="132" spans="1:32" ht="12.75">
      <c r="A132" s="10" t="s">
        <v>458</v>
      </c>
      <c r="B132" s="10"/>
      <c r="C132" s="10" t="s">
        <v>459</v>
      </c>
      <c r="D132" s="10" t="s">
        <v>460</v>
      </c>
      <c r="E132" s="10" t="s">
        <v>349</v>
      </c>
      <c r="F132" s="51">
        <v>1</v>
      </c>
      <c r="H132" s="51">
        <f>ROUND(F132*AE132,2)</f>
        <v>0</v>
      </c>
      <c r="I132" s="51">
        <f>J132-H132</f>
        <v>0</v>
      </c>
      <c r="J132" s="51">
        <f>ROUND(F132*G132,2)</f>
        <v>0</v>
      </c>
      <c r="K132" s="51">
        <v>0</v>
      </c>
      <c r="L132" s="51">
        <f>F132*K132</f>
        <v>0</v>
      </c>
      <c r="N132" s="74" t="s">
        <v>159</v>
      </c>
      <c r="O132" s="51">
        <f>IF(N132="5",I132,0)</f>
        <v>0</v>
      </c>
      <c r="Z132" s="51">
        <f>IF(AD132=0,J132,0)</f>
        <v>0</v>
      </c>
      <c r="AA132" s="51">
        <f>IF(AD132=10,J132,0)</f>
        <v>0</v>
      </c>
      <c r="AB132" s="51">
        <f>IF(AD132=20,J132,0)</f>
        <v>0</v>
      </c>
      <c r="AD132" s="51">
        <v>20</v>
      </c>
      <c r="AE132" s="51">
        <f>G132*0.745098039215686</f>
        <v>0</v>
      </c>
      <c r="AF132" s="51">
        <f>G132*(1-0.745098039215686)</f>
        <v>0</v>
      </c>
    </row>
    <row r="133" spans="1:37" ht="12.75">
      <c r="A133" s="75"/>
      <c r="B133" s="75"/>
      <c r="C133" s="76" t="s">
        <v>108</v>
      </c>
      <c r="D133" s="76" t="s">
        <v>109</v>
      </c>
      <c r="E133" s="76"/>
      <c r="F133" s="76"/>
      <c r="G133" s="76"/>
      <c r="H133" s="73">
        <f>SUM(H134:H137)</f>
        <v>0</v>
      </c>
      <c r="I133" s="73">
        <f>SUM(I134:I137)</f>
        <v>0</v>
      </c>
      <c r="J133" s="73">
        <f>H133+I133</f>
        <v>0</v>
      </c>
      <c r="K133" s="68"/>
      <c r="L133" s="73">
        <f>SUM(L134:L137)</f>
        <v>9.185934</v>
      </c>
      <c r="P133" s="73">
        <f>IF(Q133="PR",J133,SUM(O134:O137))</f>
        <v>0</v>
      </c>
      <c r="Q133" s="68" t="s">
        <v>221</v>
      </c>
      <c r="R133" s="73">
        <f>IF(Q133="HS",H133,0)</f>
        <v>0</v>
      </c>
      <c r="S133" s="73">
        <f>IF(Q133="HS",I133-P133,0)</f>
        <v>0</v>
      </c>
      <c r="T133" s="73">
        <f>IF(Q133="PS",H133,0)</f>
        <v>0</v>
      </c>
      <c r="U133" s="73">
        <f>IF(Q133="PS",I133-P133,0)</f>
        <v>0</v>
      </c>
      <c r="V133" s="73">
        <f>IF(Q133="MP",H133,0)</f>
        <v>0</v>
      </c>
      <c r="W133" s="73">
        <f>IF(Q133="MP",I133-P133,0)</f>
        <v>0</v>
      </c>
      <c r="X133" s="73">
        <f>IF(Q133="OM",H133,0)</f>
        <v>0</v>
      </c>
      <c r="Y133" s="68"/>
      <c r="AI133" s="73">
        <f>SUM(Z134:Z137)</f>
        <v>0</v>
      </c>
      <c r="AJ133" s="73">
        <f>SUM(AA134:AA137)</f>
        <v>0</v>
      </c>
      <c r="AK133" s="73">
        <f>SUM(AB134:AB137)</f>
        <v>0</v>
      </c>
    </row>
    <row r="134" spans="1:32" ht="12.75">
      <c r="A134" s="10" t="s">
        <v>461</v>
      </c>
      <c r="B134" s="10"/>
      <c r="C134" s="10" t="s">
        <v>462</v>
      </c>
      <c r="D134" s="10" t="s">
        <v>463</v>
      </c>
      <c r="E134" s="10" t="s">
        <v>169</v>
      </c>
      <c r="F134" s="51">
        <v>483.62</v>
      </c>
      <c r="H134" s="51">
        <f>ROUND(F134*AE134,2)</f>
        <v>0</v>
      </c>
      <c r="I134" s="51">
        <f>J134-H134</f>
        <v>0</v>
      </c>
      <c r="J134" s="51">
        <f>ROUND(F134*G134,2)</f>
        <v>0</v>
      </c>
      <c r="K134" s="51">
        <v>0.0157</v>
      </c>
      <c r="L134" s="51">
        <f>F134*K134</f>
        <v>7.592834</v>
      </c>
      <c r="N134" s="74" t="s">
        <v>200</v>
      </c>
      <c r="O134" s="51">
        <f>IF(N134="5",I134,0)</f>
        <v>0</v>
      </c>
      <c r="Z134" s="51">
        <f>IF(AD134=0,J134,0)</f>
        <v>0</v>
      </c>
      <c r="AA134" s="51">
        <f>IF(AD134=10,J134,0)</f>
        <v>0</v>
      </c>
      <c r="AB134" s="51">
        <f>IF(AD134=20,J134,0)</f>
        <v>0</v>
      </c>
      <c r="AD134" s="51">
        <v>20</v>
      </c>
      <c r="AE134" s="51">
        <f>G134*1</f>
        <v>0</v>
      </c>
      <c r="AF134" s="51">
        <f>G134*(1-1)</f>
        <v>0</v>
      </c>
    </row>
    <row r="135" spans="1:32" ht="12.75">
      <c r="A135" s="10" t="s">
        <v>464</v>
      </c>
      <c r="B135" s="10"/>
      <c r="C135" s="10" t="s">
        <v>465</v>
      </c>
      <c r="D135" s="10" t="s">
        <v>466</v>
      </c>
      <c r="E135" s="10" t="s">
        <v>169</v>
      </c>
      <c r="F135" s="51">
        <v>447.8</v>
      </c>
      <c r="H135" s="51">
        <f>ROUND(F135*AE135,2)</f>
        <v>0</v>
      </c>
      <c r="I135" s="51">
        <f>J135-H135</f>
        <v>0</v>
      </c>
      <c r="J135" s="51">
        <f>ROUND(F135*G135,2)</f>
        <v>0</v>
      </c>
      <c r="K135" s="51">
        <v>0</v>
      </c>
      <c r="L135" s="51">
        <f>F135*K135</f>
        <v>0</v>
      </c>
      <c r="N135" s="74" t="s">
        <v>159</v>
      </c>
      <c r="O135" s="51">
        <f>IF(N135="5",I135,0)</f>
        <v>0</v>
      </c>
      <c r="Z135" s="51">
        <f>IF(AD135=0,J135,0)</f>
        <v>0</v>
      </c>
      <c r="AA135" s="51">
        <f>IF(AD135=10,J135,0)</f>
        <v>0</v>
      </c>
      <c r="AB135" s="51">
        <f>IF(AD135=20,J135,0)</f>
        <v>0</v>
      </c>
      <c r="AD135" s="51">
        <v>20</v>
      </c>
      <c r="AE135" s="51">
        <f>G135*0</f>
        <v>0</v>
      </c>
      <c r="AF135" s="51">
        <f>G135*(1-0)</f>
        <v>0</v>
      </c>
    </row>
    <row r="136" spans="1:32" ht="12.75">
      <c r="A136" s="10" t="s">
        <v>467</v>
      </c>
      <c r="B136" s="10"/>
      <c r="C136" s="10" t="s">
        <v>468</v>
      </c>
      <c r="D136" s="10" t="s">
        <v>469</v>
      </c>
      <c r="E136" s="10" t="s">
        <v>169</v>
      </c>
      <c r="F136" s="51">
        <v>447.5</v>
      </c>
      <c r="H136" s="51">
        <f>ROUND(F136*AE136,2)</f>
        <v>0</v>
      </c>
      <c r="I136" s="51">
        <f>J136-H136</f>
        <v>0</v>
      </c>
      <c r="J136" s="51">
        <f>ROUND(F136*G136,2)</f>
        <v>0</v>
      </c>
      <c r="K136" s="51">
        <v>0.00356</v>
      </c>
      <c r="L136" s="51">
        <f>F136*K136</f>
        <v>1.5931</v>
      </c>
      <c r="N136" s="74" t="s">
        <v>159</v>
      </c>
      <c r="O136" s="51">
        <f>IF(N136="5",I136,0)</f>
        <v>0</v>
      </c>
      <c r="Z136" s="51">
        <f>IF(AD136=0,J136,0)</f>
        <v>0</v>
      </c>
      <c r="AA136" s="51">
        <f>IF(AD136=10,J136,0)</f>
        <v>0</v>
      </c>
      <c r="AB136" s="51">
        <f>IF(AD136=20,J136,0)</f>
        <v>0</v>
      </c>
      <c r="AD136" s="51">
        <v>20</v>
      </c>
      <c r="AE136" s="51">
        <f>G136*0.303133349526354</f>
        <v>0</v>
      </c>
      <c r="AF136" s="51">
        <f>G136*(1-0.303133349526354)</f>
        <v>0</v>
      </c>
    </row>
    <row r="137" spans="1:32" ht="12.75">
      <c r="A137" s="10" t="s">
        <v>470</v>
      </c>
      <c r="B137" s="10"/>
      <c r="C137" s="10" t="s">
        <v>471</v>
      </c>
      <c r="D137" s="10" t="s">
        <v>472</v>
      </c>
      <c r="E137" s="10" t="s">
        <v>231</v>
      </c>
      <c r="F137" s="51">
        <v>2595.27</v>
      </c>
      <c r="H137" s="51">
        <f>ROUND(F137*AE137,2)</f>
        <v>0</v>
      </c>
      <c r="I137" s="51">
        <f>J137-H137</f>
        <v>0</v>
      </c>
      <c r="J137" s="51">
        <f>ROUND(F137*G137,2)</f>
        <v>0</v>
      </c>
      <c r="K137" s="51">
        <v>0</v>
      </c>
      <c r="L137" s="51">
        <f>F137*K137</f>
        <v>0</v>
      </c>
      <c r="N137" s="74" t="s">
        <v>173</v>
      </c>
      <c r="O137" s="51">
        <f>IF(N137="5",I137,0)</f>
        <v>0</v>
      </c>
      <c r="Z137" s="51">
        <f>IF(AD137=0,J137,0)</f>
        <v>0</v>
      </c>
      <c r="AA137" s="51">
        <f>IF(AD137=10,J137,0)</f>
        <v>0</v>
      </c>
      <c r="AB137" s="51">
        <f>IF(AD137=20,J137,0)</f>
        <v>0</v>
      </c>
      <c r="AD137" s="51">
        <v>20</v>
      </c>
      <c r="AE137" s="51">
        <f>G137*0</f>
        <v>0</v>
      </c>
      <c r="AF137" s="51">
        <f>G137*(1-0)</f>
        <v>0</v>
      </c>
    </row>
    <row r="138" spans="1:37" ht="12.75">
      <c r="A138" s="75"/>
      <c r="B138" s="75"/>
      <c r="C138" s="76" t="s">
        <v>110</v>
      </c>
      <c r="D138" s="76" t="s">
        <v>111</v>
      </c>
      <c r="E138" s="76"/>
      <c r="F138" s="76"/>
      <c r="G138" s="76"/>
      <c r="H138" s="73">
        <f>SUM(H139:H140)</f>
        <v>0</v>
      </c>
      <c r="I138" s="73">
        <f>SUM(I139:I140)</f>
        <v>0</v>
      </c>
      <c r="J138" s="73">
        <f>H138+I138</f>
        <v>0</v>
      </c>
      <c r="K138" s="68"/>
      <c r="L138" s="73">
        <f>SUM(L139:L140)</f>
        <v>0.056457</v>
      </c>
      <c r="P138" s="73">
        <f>IF(Q138="PR",J138,SUM(O139:O140))</f>
        <v>0</v>
      </c>
      <c r="Q138" s="68" t="s">
        <v>221</v>
      </c>
      <c r="R138" s="73">
        <f>IF(Q138="HS",H138,0)</f>
        <v>0</v>
      </c>
      <c r="S138" s="73">
        <f>IF(Q138="HS",I138-P138,0)</f>
        <v>0</v>
      </c>
      <c r="T138" s="73">
        <f>IF(Q138="PS",H138,0)</f>
        <v>0</v>
      </c>
      <c r="U138" s="73">
        <f>IF(Q138="PS",I138-P138,0)</f>
        <v>0</v>
      </c>
      <c r="V138" s="73">
        <f>IF(Q138="MP",H138,0)</f>
        <v>0</v>
      </c>
      <c r="W138" s="73">
        <f>IF(Q138="MP",I138-P138,0)</f>
        <v>0</v>
      </c>
      <c r="X138" s="73">
        <f>IF(Q138="OM",H138,0)</f>
        <v>0</v>
      </c>
      <c r="Y138" s="68"/>
      <c r="AI138" s="73">
        <f>SUM(Z139:Z140)</f>
        <v>0</v>
      </c>
      <c r="AJ138" s="73">
        <f>SUM(AA139:AA140)</f>
        <v>0</v>
      </c>
      <c r="AK138" s="73">
        <f>SUM(AB139:AB140)</f>
        <v>0</v>
      </c>
    </row>
    <row r="139" spans="1:32" ht="12.75">
      <c r="A139" s="10" t="s">
        <v>473</v>
      </c>
      <c r="B139" s="10"/>
      <c r="C139" s="10" t="s">
        <v>474</v>
      </c>
      <c r="D139" s="10" t="s">
        <v>475</v>
      </c>
      <c r="E139" s="10" t="s">
        <v>190</v>
      </c>
      <c r="F139" s="51">
        <v>45.9</v>
      </c>
      <c r="H139" s="51">
        <f>ROUND(F139*AE139,2)</f>
        <v>0</v>
      </c>
      <c r="I139" s="51">
        <f>J139-H139</f>
        <v>0</v>
      </c>
      <c r="J139" s="51">
        <f>ROUND(F139*G139,2)</f>
        <v>0</v>
      </c>
      <c r="K139" s="51">
        <v>0.00123</v>
      </c>
      <c r="L139" s="51">
        <f>F139*K139</f>
        <v>0.056457</v>
      </c>
      <c r="N139" s="74" t="s">
        <v>159</v>
      </c>
      <c r="O139" s="51">
        <f>IF(N139="5",I139,0)</f>
        <v>0</v>
      </c>
      <c r="Z139" s="51">
        <f>IF(AD139=0,J139,0)</f>
        <v>0</v>
      </c>
      <c r="AA139" s="51">
        <f>IF(AD139=10,J139,0)</f>
        <v>0</v>
      </c>
      <c r="AB139" s="51">
        <f>IF(AD139=20,J139,0)</f>
        <v>0</v>
      </c>
      <c r="AD139" s="51">
        <v>20</v>
      </c>
      <c r="AE139" s="51">
        <f>G139*0.385520491218049</f>
        <v>0</v>
      </c>
      <c r="AF139" s="51">
        <f>G139*(1-0.385520491218049)</f>
        <v>0</v>
      </c>
    </row>
    <row r="140" spans="1:32" ht="12.75">
      <c r="A140" s="10" t="s">
        <v>476</v>
      </c>
      <c r="B140" s="10"/>
      <c r="C140" s="10" t="s">
        <v>477</v>
      </c>
      <c r="D140" s="10" t="s">
        <v>478</v>
      </c>
      <c r="E140" s="10" t="s">
        <v>231</v>
      </c>
      <c r="F140" s="51">
        <v>160.72</v>
      </c>
      <c r="H140" s="51">
        <f>ROUND(F140*AE140,2)</f>
        <v>0</v>
      </c>
      <c r="I140" s="51">
        <f>J140-H140</f>
        <v>0</v>
      </c>
      <c r="J140" s="51">
        <f>ROUND(F140*G140,2)</f>
        <v>0</v>
      </c>
      <c r="K140" s="51">
        <v>0</v>
      </c>
      <c r="L140" s="51">
        <f>F140*K140</f>
        <v>0</v>
      </c>
      <c r="N140" s="74" t="s">
        <v>173</v>
      </c>
      <c r="O140" s="51">
        <f>IF(N140="5",I140,0)</f>
        <v>0</v>
      </c>
      <c r="Z140" s="51">
        <f>IF(AD140=0,J140,0)</f>
        <v>0</v>
      </c>
      <c r="AA140" s="51">
        <f>IF(AD140=10,J140,0)</f>
        <v>0</v>
      </c>
      <c r="AB140" s="51">
        <f>IF(AD140=20,J140,0)</f>
        <v>0</v>
      </c>
      <c r="AD140" s="51">
        <v>20</v>
      </c>
      <c r="AE140" s="51">
        <f>G140*0</f>
        <v>0</v>
      </c>
      <c r="AF140" s="51">
        <f>G140*(1-0)</f>
        <v>0</v>
      </c>
    </row>
    <row r="141" spans="1:37" ht="12.75">
      <c r="A141" s="75"/>
      <c r="B141" s="75"/>
      <c r="C141" s="76" t="s">
        <v>112</v>
      </c>
      <c r="D141" s="76" t="s">
        <v>113</v>
      </c>
      <c r="E141" s="76"/>
      <c r="F141" s="76"/>
      <c r="G141" s="76"/>
      <c r="H141" s="73">
        <f>SUM(H142:H157)</f>
        <v>0</v>
      </c>
      <c r="I141" s="73">
        <f>SUM(I142:I157)</f>
        <v>0</v>
      </c>
      <c r="J141" s="73">
        <f>H141+I141</f>
        <v>0</v>
      </c>
      <c r="K141" s="68"/>
      <c r="L141" s="73">
        <f>SUM(L142:L157)</f>
        <v>1.8666388000000003</v>
      </c>
      <c r="P141" s="73">
        <f>IF(Q141="PR",J141,SUM(O142:O157))</f>
        <v>0</v>
      </c>
      <c r="Q141" s="68" t="s">
        <v>221</v>
      </c>
      <c r="R141" s="73">
        <f>IF(Q141="HS",H141,0)</f>
        <v>0</v>
      </c>
      <c r="S141" s="73">
        <f>IF(Q141="HS",I141-P141,0)</f>
        <v>0</v>
      </c>
      <c r="T141" s="73">
        <f>IF(Q141="PS",H141,0)</f>
        <v>0</v>
      </c>
      <c r="U141" s="73">
        <f>IF(Q141="PS",I141-P141,0)</f>
        <v>0</v>
      </c>
      <c r="V141" s="73">
        <f>IF(Q141="MP",H141,0)</f>
        <v>0</v>
      </c>
      <c r="W141" s="73">
        <f>IF(Q141="MP",I141-P141,0)</f>
        <v>0</v>
      </c>
      <c r="X141" s="73">
        <f>IF(Q141="OM",H141,0)</f>
        <v>0</v>
      </c>
      <c r="Y141" s="68"/>
      <c r="AI141" s="73">
        <f>SUM(Z142:Z157)</f>
        <v>0</v>
      </c>
      <c r="AJ141" s="73">
        <f>SUM(AA142:AA157)</f>
        <v>0</v>
      </c>
      <c r="AK141" s="73">
        <f>SUM(AB142:AB157)</f>
        <v>0</v>
      </c>
    </row>
    <row r="142" spans="1:32" ht="12.75">
      <c r="A142" s="10" t="s">
        <v>479</v>
      </c>
      <c r="B142" s="10"/>
      <c r="C142" s="10" t="s">
        <v>480</v>
      </c>
      <c r="D142" s="10" t="s">
        <v>481</v>
      </c>
      <c r="E142" s="10" t="s">
        <v>162</v>
      </c>
      <c r="F142" s="51">
        <v>2</v>
      </c>
      <c r="H142" s="51">
        <f>ROUND(F142*AE142,2)</f>
        <v>0</v>
      </c>
      <c r="I142" s="51">
        <f>J142-H142</f>
        <v>0</v>
      </c>
      <c r="J142" s="51">
        <f>ROUND(F142*G142,2)</f>
        <v>0</v>
      </c>
      <c r="K142" s="51">
        <v>0.016</v>
      </c>
      <c r="L142" s="51">
        <f>F142*K142</f>
        <v>0.032</v>
      </c>
      <c r="N142" s="74" t="s">
        <v>200</v>
      </c>
      <c r="O142" s="51">
        <f>IF(N142="5",I142,0)</f>
        <v>0</v>
      </c>
      <c r="Z142" s="51">
        <f>IF(AD142=0,J142,0)</f>
        <v>0</v>
      </c>
      <c r="AA142" s="51">
        <f>IF(AD142=10,J142,0)</f>
        <v>0</v>
      </c>
      <c r="AB142" s="51">
        <f>IF(AD142=20,J142,0)</f>
        <v>0</v>
      </c>
      <c r="AD142" s="51">
        <v>20</v>
      </c>
      <c r="AE142" s="51">
        <f>G142*1</f>
        <v>0</v>
      </c>
      <c r="AF142" s="51">
        <f>G142*(1-1)</f>
        <v>0</v>
      </c>
    </row>
    <row r="143" spans="1:32" ht="12.75">
      <c r="A143" s="10" t="s">
        <v>482</v>
      </c>
      <c r="B143" s="10"/>
      <c r="C143" s="10" t="s">
        <v>483</v>
      </c>
      <c r="D143" s="10" t="s">
        <v>484</v>
      </c>
      <c r="E143" s="10" t="s">
        <v>162</v>
      </c>
      <c r="F143" s="51">
        <v>7</v>
      </c>
      <c r="H143" s="51">
        <f>ROUND(F143*AE143,2)</f>
        <v>0</v>
      </c>
      <c r="I143" s="51">
        <f>J143-H143</f>
        <v>0</v>
      </c>
      <c r="J143" s="51">
        <f>ROUND(F143*G143,2)</f>
        <v>0</v>
      </c>
      <c r="K143" s="51">
        <v>0.018</v>
      </c>
      <c r="L143" s="51">
        <f>F143*K143</f>
        <v>0.126</v>
      </c>
      <c r="N143" s="74" t="s">
        <v>200</v>
      </c>
      <c r="O143" s="51">
        <f>IF(N143="5",I143,0)</f>
        <v>0</v>
      </c>
      <c r="Z143" s="51">
        <f>IF(AD143=0,J143,0)</f>
        <v>0</v>
      </c>
      <c r="AA143" s="51">
        <f>IF(AD143=10,J143,0)</f>
        <v>0</v>
      </c>
      <c r="AB143" s="51">
        <f>IF(AD143=20,J143,0)</f>
        <v>0</v>
      </c>
      <c r="AD143" s="51">
        <v>20</v>
      </c>
      <c r="AE143" s="51">
        <f>G143*1</f>
        <v>0</v>
      </c>
      <c r="AF143" s="51">
        <f>G143*(1-1)</f>
        <v>0</v>
      </c>
    </row>
    <row r="144" spans="1:32" ht="12.75">
      <c r="A144" s="10" t="s">
        <v>485</v>
      </c>
      <c r="B144" s="10"/>
      <c r="C144" s="10" t="s">
        <v>486</v>
      </c>
      <c r="D144" s="10" t="s">
        <v>487</v>
      </c>
      <c r="E144" s="10" t="s">
        <v>162</v>
      </c>
      <c r="F144" s="51">
        <v>9</v>
      </c>
      <c r="H144" s="51">
        <f>ROUND(F144*AE144,2)</f>
        <v>0</v>
      </c>
      <c r="I144" s="51">
        <f>J144-H144</f>
        <v>0</v>
      </c>
      <c r="J144" s="51">
        <f>ROUND(F144*G144,2)</f>
        <v>0</v>
      </c>
      <c r="K144" s="51">
        <v>0.02</v>
      </c>
      <c r="L144" s="51">
        <f>F144*K144</f>
        <v>0.18</v>
      </c>
      <c r="N144" s="74" t="s">
        <v>200</v>
      </c>
      <c r="O144" s="51">
        <f>IF(N144="5",I144,0)</f>
        <v>0</v>
      </c>
      <c r="Z144" s="51">
        <f>IF(AD144=0,J144,0)</f>
        <v>0</v>
      </c>
      <c r="AA144" s="51">
        <f>IF(AD144=10,J144,0)</f>
        <v>0</v>
      </c>
      <c r="AB144" s="51">
        <f>IF(AD144=20,J144,0)</f>
        <v>0</v>
      </c>
      <c r="AD144" s="51">
        <v>20</v>
      </c>
      <c r="AE144" s="51">
        <f>G144*1</f>
        <v>0</v>
      </c>
      <c r="AF144" s="51">
        <f>G144*(1-1)</f>
        <v>0</v>
      </c>
    </row>
    <row r="145" spans="1:32" ht="12.75">
      <c r="A145" s="10" t="s">
        <v>488</v>
      </c>
      <c r="B145" s="10"/>
      <c r="C145" s="10" t="s">
        <v>489</v>
      </c>
      <c r="D145" s="10" t="s">
        <v>490</v>
      </c>
      <c r="E145" s="10" t="s">
        <v>162</v>
      </c>
      <c r="F145" s="51">
        <v>7</v>
      </c>
      <c r="H145" s="51">
        <f>ROUND(F145*AE145,2)</f>
        <v>0</v>
      </c>
      <c r="I145" s="51">
        <f>J145-H145</f>
        <v>0</v>
      </c>
      <c r="J145" s="51">
        <f>ROUND(F145*G145,2)</f>
        <v>0</v>
      </c>
      <c r="K145" s="51">
        <v>0.022</v>
      </c>
      <c r="L145" s="51">
        <f>F145*K145</f>
        <v>0.154</v>
      </c>
      <c r="N145" s="74" t="s">
        <v>200</v>
      </c>
      <c r="O145" s="51">
        <f>IF(N145="5",I145,0)</f>
        <v>0</v>
      </c>
      <c r="Z145" s="51">
        <f>IF(AD145=0,J145,0)</f>
        <v>0</v>
      </c>
      <c r="AA145" s="51">
        <f>IF(AD145=10,J145,0)</f>
        <v>0</v>
      </c>
      <c r="AB145" s="51">
        <f>IF(AD145=20,J145,0)</f>
        <v>0</v>
      </c>
      <c r="AD145" s="51">
        <v>20</v>
      </c>
      <c r="AE145" s="51">
        <f>G145*1</f>
        <v>0</v>
      </c>
      <c r="AF145" s="51">
        <f>G145*(1-1)</f>
        <v>0</v>
      </c>
    </row>
    <row r="146" spans="1:32" ht="12.75">
      <c r="A146" s="10" t="s">
        <v>491</v>
      </c>
      <c r="B146" s="10"/>
      <c r="C146" s="10" t="s">
        <v>492</v>
      </c>
      <c r="D146" s="10" t="s">
        <v>493</v>
      </c>
      <c r="E146" s="10" t="s">
        <v>169</v>
      </c>
      <c r="F146" s="51">
        <v>101.65</v>
      </c>
      <c r="H146" s="51">
        <f>ROUND(F146*AE146,2)</f>
        <v>0</v>
      </c>
      <c r="I146" s="51">
        <f>J146-H146</f>
        <v>0</v>
      </c>
      <c r="J146" s="51">
        <f>ROUND(F146*G146,2)</f>
        <v>0</v>
      </c>
      <c r="K146" s="51">
        <v>0.0122</v>
      </c>
      <c r="L146" s="51">
        <f>F146*K146</f>
        <v>1.2401300000000002</v>
      </c>
      <c r="N146" s="74" t="s">
        <v>200</v>
      </c>
      <c r="O146" s="51">
        <f>IF(N146="5",I146,0)</f>
        <v>0</v>
      </c>
      <c r="Z146" s="51">
        <f>IF(AD146=0,J146,0)</f>
        <v>0</v>
      </c>
      <c r="AA146" s="51">
        <f>IF(AD146=10,J146,0)</f>
        <v>0</v>
      </c>
      <c r="AB146" s="51">
        <f>IF(AD146=20,J146,0)</f>
        <v>0</v>
      </c>
      <c r="AD146" s="51">
        <v>20</v>
      </c>
      <c r="AE146" s="51">
        <f>G146*1</f>
        <v>0</v>
      </c>
      <c r="AF146" s="51">
        <f>G146*(1-1)</f>
        <v>0</v>
      </c>
    </row>
    <row r="147" spans="1:32" ht="12.75">
      <c r="A147" s="10" t="s">
        <v>494</v>
      </c>
      <c r="B147" s="10"/>
      <c r="C147" s="10" t="s">
        <v>495</v>
      </c>
      <c r="D147" s="10" t="s">
        <v>496</v>
      </c>
      <c r="E147" s="10" t="s">
        <v>169</v>
      </c>
      <c r="F147" s="51">
        <v>96.97</v>
      </c>
      <c r="H147" s="51">
        <f>ROUND(F147*AE147,2)</f>
        <v>0</v>
      </c>
      <c r="I147" s="51">
        <f>J147-H147</f>
        <v>0</v>
      </c>
      <c r="J147" s="51">
        <f>ROUND(F147*G147,2)</f>
        <v>0</v>
      </c>
      <c r="K147" s="51">
        <v>0</v>
      </c>
      <c r="L147" s="51">
        <f>F147*K147</f>
        <v>0</v>
      </c>
      <c r="N147" s="74" t="s">
        <v>159</v>
      </c>
      <c r="O147" s="51">
        <f>IF(N147="5",I147,0)</f>
        <v>0</v>
      </c>
      <c r="Z147" s="51">
        <f>IF(AD147=0,J147,0)</f>
        <v>0</v>
      </c>
      <c r="AA147" s="51">
        <f>IF(AD147=10,J147,0)</f>
        <v>0</v>
      </c>
      <c r="AB147" s="51">
        <f>IF(AD147=20,J147,0)</f>
        <v>0</v>
      </c>
      <c r="AD147" s="51">
        <v>20</v>
      </c>
      <c r="AE147" s="51">
        <f>G147*0.908163265306122</f>
        <v>0</v>
      </c>
      <c r="AF147" s="51">
        <f>G147*(1-0.908163265306122)</f>
        <v>0</v>
      </c>
    </row>
    <row r="148" spans="1:32" ht="12.75">
      <c r="A148" s="10" t="s">
        <v>497</v>
      </c>
      <c r="B148" s="10"/>
      <c r="C148" s="10" t="s">
        <v>498</v>
      </c>
      <c r="D148" s="10" t="s">
        <v>499</v>
      </c>
      <c r="E148" s="10" t="s">
        <v>169</v>
      </c>
      <c r="F148" s="51">
        <v>11.2</v>
      </c>
      <c r="H148" s="51">
        <f>ROUND(F148*AE148,2)</f>
        <v>0</v>
      </c>
      <c r="I148" s="51">
        <f>J148-H148</f>
        <v>0</v>
      </c>
      <c r="J148" s="51">
        <f>ROUND(F148*G148,2)</f>
        <v>0</v>
      </c>
      <c r="K148" s="51">
        <v>0</v>
      </c>
      <c r="L148" s="51">
        <f>F148*K148</f>
        <v>0</v>
      </c>
      <c r="N148" s="74" t="s">
        <v>159</v>
      </c>
      <c r="O148" s="51">
        <f>IF(N148="5",I148,0)</f>
        <v>0</v>
      </c>
      <c r="Z148" s="51">
        <f>IF(AD148=0,J148,0)</f>
        <v>0</v>
      </c>
      <c r="AA148" s="51">
        <f>IF(AD148=10,J148,0)</f>
        <v>0</v>
      </c>
      <c r="AB148" s="51">
        <f>IF(AD148=20,J148,0)</f>
        <v>0</v>
      </c>
      <c r="AD148" s="51">
        <v>20</v>
      </c>
      <c r="AE148" s="51">
        <f>G148*0.8125</f>
        <v>0</v>
      </c>
      <c r="AF148" s="51">
        <f>G148*(1-0.8125)</f>
        <v>0</v>
      </c>
    </row>
    <row r="149" spans="1:32" ht="12.75">
      <c r="A149" s="10" t="s">
        <v>500</v>
      </c>
      <c r="B149" s="10"/>
      <c r="C149" s="10" t="s">
        <v>501</v>
      </c>
      <c r="D149" s="10" t="s">
        <v>502</v>
      </c>
      <c r="E149" s="10" t="s">
        <v>169</v>
      </c>
      <c r="F149" s="51">
        <v>665.97</v>
      </c>
      <c r="H149" s="51">
        <f>ROUND(F149*AE149,2)</f>
        <v>0</v>
      </c>
      <c r="I149" s="51">
        <f>J149-H149</f>
        <v>0</v>
      </c>
      <c r="J149" s="51">
        <f>ROUND(F149*G149,2)</f>
        <v>0</v>
      </c>
      <c r="K149" s="51">
        <v>0</v>
      </c>
      <c r="L149" s="51">
        <f>F149*K149</f>
        <v>0</v>
      </c>
      <c r="N149" s="74" t="s">
        <v>200</v>
      </c>
      <c r="O149" s="51">
        <f>IF(N149="5",I149,0)</f>
        <v>0</v>
      </c>
      <c r="Z149" s="51">
        <f>IF(AD149=0,J149,0)</f>
        <v>0</v>
      </c>
      <c r="AA149" s="51">
        <f>IF(AD149=10,J149,0)</f>
        <v>0</v>
      </c>
      <c r="AB149" s="51">
        <f>IF(AD149=20,J149,0)</f>
        <v>0</v>
      </c>
      <c r="AD149" s="51">
        <v>20</v>
      </c>
      <c r="AE149" s="51">
        <f>G149*1</f>
        <v>0</v>
      </c>
      <c r="AF149" s="51">
        <f>G149*(1-1)</f>
        <v>0</v>
      </c>
    </row>
    <row r="150" spans="1:32" ht="12.75">
      <c r="A150" s="10" t="s">
        <v>503</v>
      </c>
      <c r="B150" s="10"/>
      <c r="C150" s="10" t="s">
        <v>504</v>
      </c>
      <c r="D150" s="10" t="s">
        <v>505</v>
      </c>
      <c r="E150" s="10" t="s">
        <v>349</v>
      </c>
      <c r="F150" s="51">
        <v>1</v>
      </c>
      <c r="H150" s="51">
        <f>ROUND(F150*AE150,2)</f>
        <v>0</v>
      </c>
      <c r="I150" s="51">
        <f>J150-H150</f>
        <v>0</v>
      </c>
      <c r="J150" s="51">
        <f>ROUND(F150*G150,2)</f>
        <v>0</v>
      </c>
      <c r="K150" s="51">
        <v>0</v>
      </c>
      <c r="L150" s="51">
        <f>F150*K150</f>
        <v>0</v>
      </c>
      <c r="N150" s="74" t="s">
        <v>159</v>
      </c>
      <c r="O150" s="51">
        <f>IF(N150="5",I150,0)</f>
        <v>0</v>
      </c>
      <c r="Z150" s="51">
        <f>IF(AD150=0,J150,0)</f>
        <v>0</v>
      </c>
      <c r="AA150" s="51">
        <f>IF(AD150=10,J150,0)</f>
        <v>0</v>
      </c>
      <c r="AB150" s="51">
        <f>IF(AD150=20,J150,0)</f>
        <v>0</v>
      </c>
      <c r="AD150" s="51">
        <v>20</v>
      </c>
      <c r="AE150" s="51">
        <f>G150*0.952380952380952</f>
        <v>0</v>
      </c>
      <c r="AF150" s="51">
        <f>G150*(1-0.952380952380952)</f>
        <v>0</v>
      </c>
    </row>
    <row r="151" spans="1:32" ht="12.75">
      <c r="A151" s="10" t="s">
        <v>506</v>
      </c>
      <c r="B151" s="10"/>
      <c r="C151" s="10" t="s">
        <v>507</v>
      </c>
      <c r="D151" s="10" t="s">
        <v>508</v>
      </c>
      <c r="E151" s="10" t="s">
        <v>169</v>
      </c>
      <c r="F151" s="51">
        <v>40</v>
      </c>
      <c r="H151" s="51">
        <f>ROUND(F151*AE151,2)</f>
        <v>0</v>
      </c>
      <c r="I151" s="51">
        <f>J151-H151</f>
        <v>0</v>
      </c>
      <c r="J151" s="51">
        <f>ROUND(F151*G151,2)</f>
        <v>0</v>
      </c>
      <c r="K151" s="51">
        <v>0</v>
      </c>
      <c r="L151" s="51">
        <f>F151*K151</f>
        <v>0</v>
      </c>
      <c r="N151" s="74" t="s">
        <v>159</v>
      </c>
      <c r="O151" s="51">
        <f>IF(N151="5",I151,0)</f>
        <v>0</v>
      </c>
      <c r="Z151" s="51">
        <f>IF(AD151=0,J151,0)</f>
        <v>0</v>
      </c>
      <c r="AA151" s="51">
        <f>IF(AD151=10,J151,0)</f>
        <v>0</v>
      </c>
      <c r="AB151" s="51">
        <f>IF(AD151=20,J151,0)</f>
        <v>0</v>
      </c>
      <c r="AD151" s="51">
        <v>20</v>
      </c>
      <c r="AE151" s="51">
        <f>G151*0.8</f>
        <v>0</v>
      </c>
      <c r="AF151" s="51">
        <f>G151*(1-0.8)</f>
        <v>0</v>
      </c>
    </row>
    <row r="152" spans="1:32" ht="12.75">
      <c r="A152" s="10" t="s">
        <v>509</v>
      </c>
      <c r="B152" s="10"/>
      <c r="C152" s="10" t="s">
        <v>510</v>
      </c>
      <c r="D152" s="10" t="s">
        <v>511</v>
      </c>
      <c r="E152" s="10" t="s">
        <v>169</v>
      </c>
      <c r="F152" s="51">
        <v>92.41</v>
      </c>
      <c r="H152" s="51">
        <f>ROUND(F152*AE152,2)</f>
        <v>0</v>
      </c>
      <c r="I152" s="51">
        <f>J152-H152</f>
        <v>0</v>
      </c>
      <c r="J152" s="51">
        <f>ROUND(F152*G152,2)</f>
        <v>0</v>
      </c>
      <c r="K152" s="51">
        <v>0.0002</v>
      </c>
      <c r="L152" s="51">
        <f>F152*K152</f>
        <v>0.018482000000000002</v>
      </c>
      <c r="N152" s="74" t="s">
        <v>159</v>
      </c>
      <c r="O152" s="51">
        <f>IF(N152="5",I152,0)</f>
        <v>0</v>
      </c>
      <c r="Z152" s="51">
        <f>IF(AD152=0,J152,0)</f>
        <v>0</v>
      </c>
      <c r="AA152" s="51">
        <f>IF(AD152=10,J152,0)</f>
        <v>0</v>
      </c>
      <c r="AB152" s="51">
        <f>IF(AD152=20,J152,0)</f>
        <v>0</v>
      </c>
      <c r="AD152" s="51">
        <v>20</v>
      </c>
      <c r="AE152" s="51">
        <f>G152*0.0251886651007047</f>
        <v>0</v>
      </c>
      <c r="AF152" s="51">
        <f>G152*(1-0.0251886651007047)</f>
        <v>0</v>
      </c>
    </row>
    <row r="153" spans="1:32" ht="12.75">
      <c r="A153" s="10" t="s">
        <v>512</v>
      </c>
      <c r="B153" s="10"/>
      <c r="C153" s="10" t="s">
        <v>513</v>
      </c>
      <c r="D153" s="10" t="s">
        <v>514</v>
      </c>
      <c r="E153" s="10" t="s">
        <v>169</v>
      </c>
      <c r="F153" s="51">
        <v>402.38</v>
      </c>
      <c r="H153" s="51">
        <f>ROUND(F153*AE153,2)</f>
        <v>0</v>
      </c>
      <c r="I153" s="51">
        <f>J153-H153</f>
        <v>0</v>
      </c>
      <c r="J153" s="51">
        <f>ROUND(F153*G153,2)</f>
        <v>0</v>
      </c>
      <c r="K153" s="51">
        <v>0.00019</v>
      </c>
      <c r="L153" s="51">
        <f>F153*K153</f>
        <v>0.0764522</v>
      </c>
      <c r="N153" s="74" t="s">
        <v>159</v>
      </c>
      <c r="O153" s="51">
        <f>IF(N153="5",I153,0)</f>
        <v>0</v>
      </c>
      <c r="Z153" s="51">
        <f>IF(AD153=0,J153,0)</f>
        <v>0</v>
      </c>
      <c r="AA153" s="51">
        <f>IF(AD153=10,J153,0)</f>
        <v>0</v>
      </c>
      <c r="AB153" s="51">
        <f>IF(AD153=20,J153,0)</f>
        <v>0</v>
      </c>
      <c r="AD153" s="51">
        <v>20</v>
      </c>
      <c r="AE153" s="51">
        <f>G153*0.01476414510338</f>
        <v>0</v>
      </c>
      <c r="AF153" s="51">
        <f>G153*(1-0.01476414510338)</f>
        <v>0</v>
      </c>
    </row>
    <row r="154" spans="1:32" ht="12.75">
      <c r="A154" s="10" t="s">
        <v>515</v>
      </c>
      <c r="B154" s="10"/>
      <c r="C154" s="10" t="s">
        <v>516</v>
      </c>
      <c r="D154" s="10" t="s">
        <v>517</v>
      </c>
      <c r="E154" s="10" t="s">
        <v>169</v>
      </c>
      <c r="F154" s="51">
        <v>127.66</v>
      </c>
      <c r="H154" s="51">
        <f>ROUND(F154*AE154,2)</f>
        <v>0</v>
      </c>
      <c r="I154" s="51">
        <f>J154-H154</f>
        <v>0</v>
      </c>
      <c r="J154" s="51">
        <f>ROUND(F154*G154,2)</f>
        <v>0</v>
      </c>
      <c r="K154" s="51">
        <v>0.00031</v>
      </c>
      <c r="L154" s="51">
        <f>F154*K154</f>
        <v>0.0395746</v>
      </c>
      <c r="N154" s="74" t="s">
        <v>159</v>
      </c>
      <c r="O154" s="51">
        <f>IF(N154="5",I154,0)</f>
        <v>0</v>
      </c>
      <c r="Z154" s="51">
        <f>IF(AD154=0,J154,0)</f>
        <v>0</v>
      </c>
      <c r="AA154" s="51">
        <f>IF(AD154=10,J154,0)</f>
        <v>0</v>
      </c>
      <c r="AB154" s="51">
        <f>IF(AD154=20,J154,0)</f>
        <v>0</v>
      </c>
      <c r="AD154" s="51">
        <v>20</v>
      </c>
      <c r="AE154" s="51">
        <f>G154*0.0291812184710904</f>
        <v>0</v>
      </c>
      <c r="AF154" s="51">
        <f>G154*(1-0.0291812184710904)</f>
        <v>0</v>
      </c>
    </row>
    <row r="155" spans="1:32" ht="12.75">
      <c r="A155" s="10" t="s">
        <v>518</v>
      </c>
      <c r="B155" s="10"/>
      <c r="C155" s="10" t="s">
        <v>519</v>
      </c>
      <c r="D155" s="10" t="s">
        <v>520</v>
      </c>
      <c r="E155" s="10" t="s">
        <v>162</v>
      </c>
      <c r="F155" s="51">
        <v>24</v>
      </c>
      <c r="H155" s="51">
        <f>ROUND(F155*AE155,2)</f>
        <v>0</v>
      </c>
      <c r="I155" s="51">
        <f>J155-H155</f>
        <v>0</v>
      </c>
      <c r="J155" s="51">
        <f>ROUND(F155*G155,2)</f>
        <v>0</v>
      </c>
      <c r="K155" s="51">
        <v>0</v>
      </c>
      <c r="L155" s="51">
        <f>F155*K155</f>
        <v>0</v>
      </c>
      <c r="N155" s="74" t="s">
        <v>159</v>
      </c>
      <c r="O155" s="51">
        <f>IF(N155="5",I155,0)</f>
        <v>0</v>
      </c>
      <c r="Z155" s="51">
        <f>IF(AD155=0,J155,0)</f>
        <v>0</v>
      </c>
      <c r="AA155" s="51">
        <f>IF(AD155=10,J155,0)</f>
        <v>0</v>
      </c>
      <c r="AB155" s="51">
        <f>IF(AD155=20,J155,0)</f>
        <v>0</v>
      </c>
      <c r="AD155" s="51">
        <v>20</v>
      </c>
      <c r="AE155" s="51">
        <f>G155*0</f>
        <v>0</v>
      </c>
      <c r="AF155" s="51">
        <f>G155*(1-0)</f>
        <v>0</v>
      </c>
    </row>
    <row r="156" spans="1:32" ht="12.75">
      <c r="A156" s="10" t="s">
        <v>521</v>
      </c>
      <c r="B156" s="10"/>
      <c r="C156" s="10" t="s">
        <v>522</v>
      </c>
      <c r="D156" s="10" t="s">
        <v>523</v>
      </c>
      <c r="E156" s="10" t="s">
        <v>169</v>
      </c>
      <c r="F156" s="51">
        <v>622.15</v>
      </c>
      <c r="H156" s="51">
        <f>ROUND(F156*AE156,2)</f>
        <v>0</v>
      </c>
      <c r="I156" s="51">
        <f>J156-H156</f>
        <v>0</v>
      </c>
      <c r="J156" s="51">
        <f>ROUND(F156*G156,2)</f>
        <v>0</v>
      </c>
      <c r="K156" s="51">
        <v>0</v>
      </c>
      <c r="L156" s="51">
        <f>F156*K156</f>
        <v>0</v>
      </c>
      <c r="N156" s="74" t="s">
        <v>159</v>
      </c>
      <c r="O156" s="51">
        <f>IF(N156="5",I156,0)</f>
        <v>0</v>
      </c>
      <c r="Z156" s="51">
        <f>IF(AD156=0,J156,0)</f>
        <v>0</v>
      </c>
      <c r="AA156" s="51">
        <f>IF(AD156=10,J156,0)</f>
        <v>0</v>
      </c>
      <c r="AB156" s="51">
        <f>IF(AD156=20,J156,0)</f>
        <v>0</v>
      </c>
      <c r="AD156" s="51">
        <v>20</v>
      </c>
      <c r="AE156" s="51">
        <f>G156*0.844444444444444</f>
        <v>0</v>
      </c>
      <c r="AF156" s="51">
        <f>G156*(1-0.844444444444444)</f>
        <v>0</v>
      </c>
    </row>
    <row r="157" spans="1:32" ht="12.75">
      <c r="A157" s="10" t="s">
        <v>524</v>
      </c>
      <c r="B157" s="10"/>
      <c r="C157" s="10" t="s">
        <v>525</v>
      </c>
      <c r="D157" s="10" t="s">
        <v>526</v>
      </c>
      <c r="E157" s="10" t="s">
        <v>231</v>
      </c>
      <c r="F157" s="51">
        <v>32673.28</v>
      </c>
      <c r="H157" s="51">
        <f>ROUND(F157*AE157,2)</f>
        <v>0</v>
      </c>
      <c r="I157" s="51">
        <f>J157-H157</f>
        <v>0</v>
      </c>
      <c r="J157" s="51">
        <f>ROUND(F157*G157,2)</f>
        <v>0</v>
      </c>
      <c r="K157" s="51">
        <v>0</v>
      </c>
      <c r="L157" s="51">
        <f>F157*K157</f>
        <v>0</v>
      </c>
      <c r="N157" s="74" t="s">
        <v>173</v>
      </c>
      <c r="O157" s="51">
        <f>IF(N157="5",I157,0)</f>
        <v>0</v>
      </c>
      <c r="Z157" s="51">
        <f>IF(AD157=0,J157,0)</f>
        <v>0</v>
      </c>
      <c r="AA157" s="51">
        <f>IF(AD157=10,J157,0)</f>
        <v>0</v>
      </c>
      <c r="AB157" s="51">
        <f>IF(AD157=20,J157,0)</f>
        <v>0</v>
      </c>
      <c r="AD157" s="51">
        <v>20</v>
      </c>
      <c r="AE157" s="51">
        <f>G157*0</f>
        <v>0</v>
      </c>
      <c r="AF157" s="51">
        <f>G157*(1-0)</f>
        <v>0</v>
      </c>
    </row>
    <row r="158" spans="1:37" ht="12.75">
      <c r="A158" s="75"/>
      <c r="B158" s="75"/>
      <c r="C158" s="76" t="s">
        <v>114</v>
      </c>
      <c r="D158" s="76" t="s">
        <v>115</v>
      </c>
      <c r="E158" s="76"/>
      <c r="F158" s="76"/>
      <c r="G158" s="76"/>
      <c r="H158" s="73">
        <f>SUM(H159:H165)</f>
        <v>0</v>
      </c>
      <c r="I158" s="73">
        <f>SUM(I159:I165)</f>
        <v>0</v>
      </c>
      <c r="J158" s="73">
        <f>H158+I158</f>
        <v>0</v>
      </c>
      <c r="K158" s="68"/>
      <c r="L158" s="73">
        <f>SUM(L159:L165)</f>
        <v>0</v>
      </c>
      <c r="P158" s="73">
        <f>IF(Q158="PR",J158,SUM(O159:O165))</f>
        <v>0</v>
      </c>
      <c r="Q158" s="68" t="s">
        <v>221</v>
      </c>
      <c r="R158" s="73">
        <f>IF(Q158="HS",H158,0)</f>
        <v>0</v>
      </c>
      <c r="S158" s="73">
        <f>IF(Q158="HS",I158-P158,0)</f>
        <v>0</v>
      </c>
      <c r="T158" s="73">
        <f>IF(Q158="PS",H158,0)</f>
        <v>0</v>
      </c>
      <c r="U158" s="73">
        <f>IF(Q158="PS",I158-P158,0)</f>
        <v>0</v>
      </c>
      <c r="V158" s="73">
        <f>IF(Q158="MP",H158,0)</f>
        <v>0</v>
      </c>
      <c r="W158" s="73">
        <f>IF(Q158="MP",I158-P158,0)</f>
        <v>0</v>
      </c>
      <c r="X158" s="73">
        <f>IF(Q158="OM",H158,0)</f>
        <v>0</v>
      </c>
      <c r="Y158" s="68"/>
      <c r="AI158" s="73">
        <f>SUM(Z159:Z165)</f>
        <v>0</v>
      </c>
      <c r="AJ158" s="73">
        <f>SUM(AA159:AA165)</f>
        <v>0</v>
      </c>
      <c r="AK158" s="73">
        <f>SUM(AB159:AB165)</f>
        <v>0</v>
      </c>
    </row>
    <row r="159" spans="1:32" ht="12.75">
      <c r="A159" s="10" t="s">
        <v>527</v>
      </c>
      <c r="B159" s="10"/>
      <c r="C159" s="10" t="s">
        <v>528</v>
      </c>
      <c r="D159" s="10" t="s">
        <v>529</v>
      </c>
      <c r="E159" s="10" t="s">
        <v>349</v>
      </c>
      <c r="F159" s="51">
        <v>2</v>
      </c>
      <c r="H159" s="51">
        <f>ROUND(F159*AE159,2)</f>
        <v>0</v>
      </c>
      <c r="I159" s="51">
        <f>J159-H159</f>
        <v>0</v>
      </c>
      <c r="J159" s="51">
        <f>ROUND(F159*G159,2)</f>
        <v>0</v>
      </c>
      <c r="K159" s="51">
        <v>0</v>
      </c>
      <c r="L159" s="51">
        <f>F159*K159</f>
        <v>0</v>
      </c>
      <c r="N159" s="74" t="s">
        <v>159</v>
      </c>
      <c r="O159" s="51">
        <f>IF(N159="5",I159,0)</f>
        <v>0</v>
      </c>
      <c r="Z159" s="51">
        <f>IF(AD159=0,J159,0)</f>
        <v>0</v>
      </c>
      <c r="AA159" s="51">
        <f>IF(AD159=10,J159,0)</f>
        <v>0</v>
      </c>
      <c r="AB159" s="51">
        <f>IF(AD159=20,J159,0)</f>
        <v>0</v>
      </c>
      <c r="AD159" s="51">
        <v>20</v>
      </c>
      <c r="AE159" s="51">
        <f>G159*0.875</f>
        <v>0</v>
      </c>
      <c r="AF159" s="51">
        <f>G159*(1-0.875)</f>
        <v>0</v>
      </c>
    </row>
    <row r="160" spans="1:32" ht="12.75">
      <c r="A160" s="10" t="s">
        <v>530</v>
      </c>
      <c r="B160" s="10"/>
      <c r="C160" s="10" t="s">
        <v>531</v>
      </c>
      <c r="D160" s="10" t="s">
        <v>532</v>
      </c>
      <c r="E160" s="10" t="s">
        <v>169</v>
      </c>
      <c r="F160" s="51">
        <v>65.33</v>
      </c>
      <c r="H160" s="51">
        <f>ROUND(F160*AE160,2)</f>
        <v>0</v>
      </c>
      <c r="I160" s="51">
        <f>J160-H160</f>
        <v>0</v>
      </c>
      <c r="J160" s="51">
        <f>ROUND(F160*G160,2)</f>
        <v>0</v>
      </c>
      <c r="K160" s="51">
        <v>0</v>
      </c>
      <c r="L160" s="51">
        <f>F160*K160</f>
        <v>0</v>
      </c>
      <c r="N160" s="74" t="s">
        <v>159</v>
      </c>
      <c r="O160" s="51">
        <f>IF(N160="5",I160,0)</f>
        <v>0</v>
      </c>
      <c r="Z160" s="51">
        <f>IF(AD160=0,J160,0)</f>
        <v>0</v>
      </c>
      <c r="AA160" s="51">
        <f>IF(AD160=10,J160,0)</f>
        <v>0</v>
      </c>
      <c r="AB160" s="51">
        <f>IF(AD160=20,J160,0)</f>
        <v>0</v>
      </c>
      <c r="AD160" s="51">
        <v>20</v>
      </c>
      <c r="AE160" s="51">
        <f>G160*0.833333333333333</f>
        <v>0</v>
      </c>
      <c r="AF160" s="51">
        <f>G160*(1-0.833333333333333)</f>
        <v>0</v>
      </c>
    </row>
    <row r="161" spans="1:32" ht="12.75">
      <c r="A161" s="10" t="s">
        <v>533</v>
      </c>
      <c r="B161" s="10"/>
      <c r="C161" s="10" t="s">
        <v>534</v>
      </c>
      <c r="D161" s="10" t="s">
        <v>535</v>
      </c>
      <c r="E161" s="10" t="s">
        <v>349</v>
      </c>
      <c r="F161" s="51">
        <v>1</v>
      </c>
      <c r="H161" s="51">
        <f>ROUND(F161*AE161,2)</f>
        <v>0</v>
      </c>
      <c r="I161" s="51">
        <f>J161-H161</f>
        <v>0</v>
      </c>
      <c r="J161" s="51">
        <f>ROUND(F161*G161,2)</f>
        <v>0</v>
      </c>
      <c r="K161" s="51">
        <v>0</v>
      </c>
      <c r="L161" s="51">
        <f>F161*K161</f>
        <v>0</v>
      </c>
      <c r="N161" s="74" t="s">
        <v>159</v>
      </c>
      <c r="O161" s="51">
        <f>IF(N161="5",I161,0)</f>
        <v>0</v>
      </c>
      <c r="Z161" s="51">
        <f>IF(AD161=0,J161,0)</f>
        <v>0</v>
      </c>
      <c r="AA161" s="51">
        <f>IF(AD161=10,J161,0)</f>
        <v>0</v>
      </c>
      <c r="AB161" s="51">
        <f>IF(AD161=20,J161,0)</f>
        <v>0</v>
      </c>
      <c r="AD161" s="51">
        <v>20</v>
      </c>
      <c r="AE161" s="51">
        <f>G161*0.855263157894737</f>
        <v>0</v>
      </c>
      <c r="AF161" s="51">
        <f>G161*(1-0.855263157894737)</f>
        <v>0</v>
      </c>
    </row>
    <row r="162" spans="1:32" ht="12.75">
      <c r="A162" s="10" t="s">
        <v>536</v>
      </c>
      <c r="B162" s="10"/>
      <c r="C162" s="10" t="s">
        <v>537</v>
      </c>
      <c r="D162" s="10" t="s">
        <v>538</v>
      </c>
      <c r="E162" s="10" t="s">
        <v>539</v>
      </c>
      <c r="F162" s="51">
        <v>2</v>
      </c>
      <c r="H162" s="51">
        <f>ROUND(F162*AE162,2)</f>
        <v>0</v>
      </c>
      <c r="I162" s="51">
        <f>J162-H162</f>
        <v>0</v>
      </c>
      <c r="J162" s="51">
        <f>ROUND(F162*G162,2)</f>
        <v>0</v>
      </c>
      <c r="K162" s="51">
        <v>0</v>
      </c>
      <c r="L162" s="51">
        <f>F162*K162</f>
        <v>0</v>
      </c>
      <c r="N162" s="74" t="s">
        <v>159</v>
      </c>
      <c r="O162" s="51">
        <f>IF(N162="5",I162,0)</f>
        <v>0</v>
      </c>
      <c r="Z162" s="51">
        <f>IF(AD162=0,J162,0)</f>
        <v>0</v>
      </c>
      <c r="AA162" s="51">
        <f>IF(AD162=10,J162,0)</f>
        <v>0</v>
      </c>
      <c r="AB162" s="51">
        <f>IF(AD162=20,J162,0)</f>
        <v>0</v>
      </c>
      <c r="AD162" s="51">
        <v>20</v>
      </c>
      <c r="AE162" s="51">
        <f>G162*0.82089552238806</f>
        <v>0</v>
      </c>
      <c r="AF162" s="51">
        <f>G162*(1-0.82089552238806)</f>
        <v>0</v>
      </c>
    </row>
    <row r="163" spans="1:32" ht="12.75">
      <c r="A163" s="10" t="s">
        <v>540</v>
      </c>
      <c r="B163" s="10"/>
      <c r="C163" s="10" t="s">
        <v>541</v>
      </c>
      <c r="D163" s="10" t="s">
        <v>542</v>
      </c>
      <c r="E163" s="10" t="s">
        <v>543</v>
      </c>
      <c r="F163" s="51">
        <v>360</v>
      </c>
      <c r="H163" s="51">
        <f>ROUND(F163*AE163,2)</f>
        <v>0</v>
      </c>
      <c r="I163" s="51">
        <f>J163-H163</f>
        <v>0</v>
      </c>
      <c r="J163" s="51">
        <f>ROUND(F163*G163,2)</f>
        <v>0</v>
      </c>
      <c r="K163" s="51">
        <v>0</v>
      </c>
      <c r="L163" s="51">
        <f>F163*K163</f>
        <v>0</v>
      </c>
      <c r="N163" s="74" t="s">
        <v>159</v>
      </c>
      <c r="O163" s="51">
        <f>IF(N163="5",I163,0)</f>
        <v>0</v>
      </c>
      <c r="Z163" s="51">
        <f>IF(AD163=0,J163,0)</f>
        <v>0</v>
      </c>
      <c r="AA163" s="51">
        <f>IF(AD163=10,J163,0)</f>
        <v>0</v>
      </c>
      <c r="AB163" s="51">
        <f>IF(AD163=20,J163,0)</f>
        <v>0</v>
      </c>
      <c r="AD163" s="51">
        <v>20</v>
      </c>
      <c r="AE163" s="51">
        <f>G163*0.777777777777778</f>
        <v>0</v>
      </c>
      <c r="AF163" s="51">
        <f>G163*(1-0.777777777777778)</f>
        <v>0</v>
      </c>
    </row>
    <row r="164" spans="1:32" ht="12.75">
      <c r="A164" s="10" t="s">
        <v>544</v>
      </c>
      <c r="B164" s="10"/>
      <c r="C164" s="10" t="s">
        <v>545</v>
      </c>
      <c r="D164" s="10" t="s">
        <v>546</v>
      </c>
      <c r="E164" s="10" t="s">
        <v>349</v>
      </c>
      <c r="F164" s="51">
        <v>1</v>
      </c>
      <c r="H164" s="51">
        <f>ROUND(F164*AE164,2)</f>
        <v>0</v>
      </c>
      <c r="I164" s="51">
        <f>J164-H164</f>
        <v>0</v>
      </c>
      <c r="J164" s="51">
        <f>ROUND(F164*G164,2)</f>
        <v>0</v>
      </c>
      <c r="K164" s="51">
        <v>0</v>
      </c>
      <c r="L164" s="51">
        <f>F164*K164</f>
        <v>0</v>
      </c>
      <c r="N164" s="74" t="s">
        <v>159</v>
      </c>
      <c r="O164" s="51">
        <f>IF(N164="5",I164,0)</f>
        <v>0</v>
      </c>
      <c r="Z164" s="51">
        <f>IF(AD164=0,J164,0)</f>
        <v>0</v>
      </c>
      <c r="AA164" s="51">
        <f>IF(AD164=10,J164,0)</f>
        <v>0</v>
      </c>
      <c r="AB164" s="51">
        <f>IF(AD164=20,J164,0)</f>
        <v>0</v>
      </c>
      <c r="AD164" s="51">
        <v>20</v>
      </c>
      <c r="AE164" s="51">
        <f>G164*0.888888888888889</f>
        <v>0</v>
      </c>
      <c r="AF164" s="51">
        <f>G164*(1-0.888888888888889)</f>
        <v>0</v>
      </c>
    </row>
    <row r="165" spans="1:32" ht="12.75">
      <c r="A165" s="10" t="s">
        <v>547</v>
      </c>
      <c r="B165" s="10"/>
      <c r="C165" s="10" t="s">
        <v>548</v>
      </c>
      <c r="D165" s="10" t="s">
        <v>549</v>
      </c>
      <c r="E165" s="10" t="s">
        <v>231</v>
      </c>
      <c r="F165" s="51">
        <v>3435.32</v>
      </c>
      <c r="H165" s="51">
        <f>ROUND(F165*AE165,2)</f>
        <v>0</v>
      </c>
      <c r="I165" s="51">
        <f>J165-H165</f>
        <v>0</v>
      </c>
      <c r="J165" s="51">
        <f>ROUND(F165*G165,2)</f>
        <v>0</v>
      </c>
      <c r="K165" s="51">
        <v>0</v>
      </c>
      <c r="L165" s="51">
        <f>F165*K165</f>
        <v>0</v>
      </c>
      <c r="N165" s="74" t="s">
        <v>173</v>
      </c>
      <c r="O165" s="51">
        <f>IF(N165="5",I165,0)</f>
        <v>0</v>
      </c>
      <c r="Z165" s="51">
        <f>IF(AD165=0,J165,0)</f>
        <v>0</v>
      </c>
      <c r="AA165" s="51">
        <f>IF(AD165=10,J165,0)</f>
        <v>0</v>
      </c>
      <c r="AB165" s="51">
        <f>IF(AD165=20,J165,0)</f>
        <v>0</v>
      </c>
      <c r="AD165" s="51">
        <v>20</v>
      </c>
      <c r="AE165" s="51">
        <f>G165*0</f>
        <v>0</v>
      </c>
      <c r="AF165" s="51">
        <f>G165*(1-0)</f>
        <v>0</v>
      </c>
    </row>
    <row r="166" spans="1:37" ht="12.75">
      <c r="A166" s="75"/>
      <c r="B166" s="75"/>
      <c r="C166" s="76" t="s">
        <v>116</v>
      </c>
      <c r="D166" s="76" t="s">
        <v>117</v>
      </c>
      <c r="E166" s="76"/>
      <c r="F166" s="76"/>
      <c r="G166" s="76"/>
      <c r="H166" s="73">
        <f>SUM(H167:H172)</f>
        <v>0</v>
      </c>
      <c r="I166" s="73">
        <f>SUM(I167:I172)</f>
        <v>0</v>
      </c>
      <c r="J166" s="73">
        <f>H166+I166</f>
        <v>0</v>
      </c>
      <c r="K166" s="68"/>
      <c r="L166" s="73">
        <f>SUM(L167:L172)</f>
        <v>3.5978803999999993</v>
      </c>
      <c r="P166" s="73">
        <f>IF(Q166="PR",J166,SUM(O167:O172))</f>
        <v>0</v>
      </c>
      <c r="Q166" s="68" t="s">
        <v>221</v>
      </c>
      <c r="R166" s="73">
        <f>IF(Q166="HS",H166,0)</f>
        <v>0</v>
      </c>
      <c r="S166" s="73">
        <f>IF(Q166="HS",I166-P166,0)</f>
        <v>0</v>
      </c>
      <c r="T166" s="73">
        <f>IF(Q166="PS",H166,0)</f>
        <v>0</v>
      </c>
      <c r="U166" s="73">
        <f>IF(Q166="PS",I166-P166,0)</f>
        <v>0</v>
      </c>
      <c r="V166" s="73">
        <f>IF(Q166="MP",H166,0)</f>
        <v>0</v>
      </c>
      <c r="W166" s="73">
        <f>IF(Q166="MP",I166-P166,0)</f>
        <v>0</v>
      </c>
      <c r="X166" s="73">
        <f>IF(Q166="OM",H166,0)</f>
        <v>0</v>
      </c>
      <c r="Y166" s="68"/>
      <c r="AI166" s="73">
        <f>SUM(Z167:Z172)</f>
        <v>0</v>
      </c>
      <c r="AJ166" s="73">
        <f>SUM(AA167:AA172)</f>
        <v>0</v>
      </c>
      <c r="AK166" s="73">
        <f>SUM(AB167:AB172)</f>
        <v>0</v>
      </c>
    </row>
    <row r="167" spans="1:32" ht="12.75">
      <c r="A167" s="10" t="s">
        <v>550</v>
      </c>
      <c r="B167" s="10"/>
      <c r="C167" s="10" t="s">
        <v>551</v>
      </c>
      <c r="D167" s="10" t="s">
        <v>552</v>
      </c>
      <c r="E167" s="10" t="s">
        <v>169</v>
      </c>
      <c r="F167" s="51">
        <v>163.28</v>
      </c>
      <c r="H167" s="51">
        <f>ROUND(F167*AE167,2)</f>
        <v>0</v>
      </c>
      <c r="I167" s="51">
        <f>J167-H167</f>
        <v>0</v>
      </c>
      <c r="J167" s="51">
        <f>ROUND(F167*G167,2)</f>
        <v>0</v>
      </c>
      <c r="K167" s="51">
        <v>0.0192</v>
      </c>
      <c r="L167" s="51">
        <f>F167*K167</f>
        <v>3.1349759999999995</v>
      </c>
      <c r="N167" s="74" t="s">
        <v>200</v>
      </c>
      <c r="O167" s="51">
        <f>IF(N167="5",I167,0)</f>
        <v>0</v>
      </c>
      <c r="Z167" s="51">
        <f>IF(AD167=0,J167,0)</f>
        <v>0</v>
      </c>
      <c r="AA167" s="51">
        <f>IF(AD167=10,J167,0)</f>
        <v>0</v>
      </c>
      <c r="AB167" s="51">
        <f>IF(AD167=20,J167,0)</f>
        <v>0</v>
      </c>
      <c r="AD167" s="51">
        <v>20</v>
      </c>
      <c r="AE167" s="51">
        <f>G167*1</f>
        <v>0</v>
      </c>
      <c r="AF167" s="51">
        <f>G167*(1-1)</f>
        <v>0</v>
      </c>
    </row>
    <row r="168" spans="1:32" ht="12.75">
      <c r="A168" s="10" t="s">
        <v>553</v>
      </c>
      <c r="B168" s="10"/>
      <c r="C168" s="10" t="s">
        <v>554</v>
      </c>
      <c r="D168" s="10" t="s">
        <v>555</v>
      </c>
      <c r="E168" s="10" t="s">
        <v>190</v>
      </c>
      <c r="F168" s="51">
        <v>112.74</v>
      </c>
      <c r="H168" s="51">
        <f>ROUND(F168*AE168,2)</f>
        <v>0</v>
      </c>
      <c r="I168" s="51">
        <f>J168-H168</f>
        <v>0</v>
      </c>
      <c r="J168" s="51">
        <f>ROUND(F168*G168,2)</f>
        <v>0</v>
      </c>
      <c r="K168" s="51">
        <v>0.0002</v>
      </c>
      <c r="L168" s="51">
        <f>F168*K168</f>
        <v>0.022548</v>
      </c>
      <c r="N168" s="74" t="s">
        <v>159</v>
      </c>
      <c r="O168" s="51">
        <f>IF(N168="5",I168,0)</f>
        <v>0</v>
      </c>
      <c r="Z168" s="51">
        <f>IF(AD168=0,J168,0)</f>
        <v>0</v>
      </c>
      <c r="AA168" s="51">
        <f>IF(AD168=10,J168,0)</f>
        <v>0</v>
      </c>
      <c r="AB168" s="51">
        <f>IF(AD168=20,J168,0)</f>
        <v>0</v>
      </c>
      <c r="AD168" s="51">
        <v>20</v>
      </c>
      <c r="AE168" s="51">
        <f>G168*0.146651996227601</f>
        <v>0</v>
      </c>
      <c r="AF168" s="51">
        <f>G168*(1-0.146651996227601)</f>
        <v>0</v>
      </c>
    </row>
    <row r="169" spans="1:32" ht="12.75">
      <c r="A169" s="10" t="s">
        <v>556</v>
      </c>
      <c r="B169" s="10"/>
      <c r="C169" s="10" t="s">
        <v>557</v>
      </c>
      <c r="D169" s="10" t="s">
        <v>558</v>
      </c>
      <c r="E169" s="10" t="s">
        <v>169</v>
      </c>
      <c r="F169" s="51">
        <v>148.8</v>
      </c>
      <c r="H169" s="51">
        <f>ROUND(F169*AE169,2)</f>
        <v>0</v>
      </c>
      <c r="I169" s="51">
        <f>J169-H169</f>
        <v>0</v>
      </c>
      <c r="J169" s="51">
        <f>ROUND(F169*G169,2)</f>
        <v>0</v>
      </c>
      <c r="K169" s="51">
        <v>0.0024</v>
      </c>
      <c r="L169" s="51">
        <f>F169*K169</f>
        <v>0.35712</v>
      </c>
      <c r="N169" s="74" t="s">
        <v>159</v>
      </c>
      <c r="O169" s="51">
        <f>IF(N169="5",I169,0)</f>
        <v>0</v>
      </c>
      <c r="Z169" s="51">
        <f>IF(AD169=0,J169,0)</f>
        <v>0</v>
      </c>
      <c r="AA169" s="51">
        <f>IF(AD169=10,J169,0)</f>
        <v>0</v>
      </c>
      <c r="AB169" s="51">
        <f>IF(AD169=20,J169,0)</f>
        <v>0</v>
      </c>
      <c r="AD169" s="51">
        <v>20</v>
      </c>
      <c r="AE169" s="51">
        <f>G169*0.244781192465656</f>
        <v>0</v>
      </c>
      <c r="AF169" s="51">
        <f>G169*(1-0.244781192465656)</f>
        <v>0</v>
      </c>
    </row>
    <row r="170" spans="1:32" ht="12.75">
      <c r="A170" s="10" t="s">
        <v>559</v>
      </c>
      <c r="B170" s="10"/>
      <c r="C170" s="10" t="s">
        <v>560</v>
      </c>
      <c r="D170" s="10" t="s">
        <v>561</v>
      </c>
      <c r="E170" s="10" t="s">
        <v>169</v>
      </c>
      <c r="F170" s="51">
        <v>160.07</v>
      </c>
      <c r="H170" s="51">
        <f>ROUND(F170*AE170,2)</f>
        <v>0</v>
      </c>
      <c r="I170" s="51">
        <f>J170-H170</f>
        <v>0</v>
      </c>
      <c r="J170" s="51">
        <f>ROUND(F170*G170,2)</f>
        <v>0</v>
      </c>
      <c r="K170" s="51">
        <v>0.00052</v>
      </c>
      <c r="L170" s="51">
        <f>F170*K170</f>
        <v>0.08323639999999999</v>
      </c>
      <c r="N170" s="74" t="s">
        <v>159</v>
      </c>
      <c r="O170" s="51">
        <f>IF(N170="5",I170,0)</f>
        <v>0</v>
      </c>
      <c r="Z170" s="51">
        <f>IF(AD170=0,J170,0)</f>
        <v>0</v>
      </c>
      <c r="AA170" s="51">
        <f>IF(AD170=10,J170,0)</f>
        <v>0</v>
      </c>
      <c r="AB170" s="51">
        <f>IF(AD170=20,J170,0)</f>
        <v>0</v>
      </c>
      <c r="AD170" s="51">
        <v>20</v>
      </c>
      <c r="AE170" s="51">
        <f>G170*1</f>
        <v>0</v>
      </c>
      <c r="AF170" s="51">
        <f>G170*(1-1)</f>
        <v>0</v>
      </c>
    </row>
    <row r="171" spans="1:32" ht="12.75">
      <c r="A171" s="10" t="s">
        <v>562</v>
      </c>
      <c r="B171" s="10"/>
      <c r="C171" s="10" t="s">
        <v>563</v>
      </c>
      <c r="D171" s="10" t="s">
        <v>564</v>
      </c>
      <c r="E171" s="10" t="s">
        <v>169</v>
      </c>
      <c r="F171" s="51">
        <v>10.7</v>
      </c>
      <c r="H171" s="51">
        <f>ROUND(F171*AE171,2)</f>
        <v>0</v>
      </c>
      <c r="I171" s="51">
        <f>J171-H171</f>
        <v>0</v>
      </c>
      <c r="J171" s="51">
        <f>ROUND(F171*G171,2)</f>
        <v>0</v>
      </c>
      <c r="K171" s="51">
        <v>0</v>
      </c>
      <c r="L171" s="51">
        <f>F171*K171</f>
        <v>0</v>
      </c>
      <c r="N171" s="74" t="s">
        <v>159</v>
      </c>
      <c r="O171" s="51">
        <f>IF(N171="5",I171,0)</f>
        <v>0</v>
      </c>
      <c r="Z171" s="51">
        <f>IF(AD171=0,J171,0)</f>
        <v>0</v>
      </c>
      <c r="AA171" s="51">
        <f>IF(AD171=10,J171,0)</f>
        <v>0</v>
      </c>
      <c r="AB171" s="51">
        <f>IF(AD171=20,J171,0)</f>
        <v>0</v>
      </c>
      <c r="AD171" s="51">
        <v>20</v>
      </c>
      <c r="AE171" s="51">
        <f>G171*0</f>
        <v>0</v>
      </c>
      <c r="AF171" s="51">
        <f>G171*(1-0)</f>
        <v>0</v>
      </c>
    </row>
    <row r="172" spans="1:32" ht="12.75">
      <c r="A172" s="10" t="s">
        <v>565</v>
      </c>
      <c r="B172" s="10"/>
      <c r="C172" s="10" t="s">
        <v>566</v>
      </c>
      <c r="D172" s="10" t="s">
        <v>567</v>
      </c>
      <c r="E172" s="10" t="s">
        <v>231</v>
      </c>
      <c r="F172" s="51">
        <v>1011.86</v>
      </c>
      <c r="H172" s="51">
        <f>ROUND(F172*AE172,2)</f>
        <v>0</v>
      </c>
      <c r="I172" s="51">
        <f>J172-H172</f>
        <v>0</v>
      </c>
      <c r="J172" s="51">
        <f>ROUND(F172*G172,2)</f>
        <v>0</v>
      </c>
      <c r="K172" s="51">
        <v>0</v>
      </c>
      <c r="L172" s="51">
        <f>F172*K172</f>
        <v>0</v>
      </c>
      <c r="N172" s="74" t="s">
        <v>173</v>
      </c>
      <c r="O172" s="51">
        <f>IF(N172="5",I172,0)</f>
        <v>0</v>
      </c>
      <c r="Z172" s="51">
        <f>IF(AD172=0,J172,0)</f>
        <v>0</v>
      </c>
      <c r="AA172" s="51">
        <f>IF(AD172=10,J172,0)</f>
        <v>0</v>
      </c>
      <c r="AB172" s="51">
        <f>IF(AD172=20,J172,0)</f>
        <v>0</v>
      </c>
      <c r="AD172" s="51">
        <v>20</v>
      </c>
      <c r="AE172" s="51">
        <f>G172*0</f>
        <v>0</v>
      </c>
      <c r="AF172" s="51">
        <f>G172*(1-0)</f>
        <v>0</v>
      </c>
    </row>
    <row r="173" spans="1:37" ht="12.75">
      <c r="A173" s="75"/>
      <c r="B173" s="75"/>
      <c r="C173" s="76" t="s">
        <v>118</v>
      </c>
      <c r="D173" s="76" t="s">
        <v>119</v>
      </c>
      <c r="E173" s="76"/>
      <c r="F173" s="76"/>
      <c r="G173" s="76"/>
      <c r="H173" s="73">
        <f>SUM(H174:H176)</f>
        <v>0</v>
      </c>
      <c r="I173" s="73">
        <f>SUM(I174:I176)</f>
        <v>0</v>
      </c>
      <c r="J173" s="73">
        <f>H173+I173</f>
        <v>0</v>
      </c>
      <c r="K173" s="68"/>
      <c r="L173" s="73">
        <f>SUM(L174:L176)</f>
        <v>1.1361177999999998</v>
      </c>
      <c r="P173" s="73">
        <f>IF(Q173="PR",J173,SUM(O174:O176))</f>
        <v>0</v>
      </c>
      <c r="Q173" s="68" t="s">
        <v>221</v>
      </c>
      <c r="R173" s="73">
        <f>IF(Q173="HS",H173,0)</f>
        <v>0</v>
      </c>
      <c r="S173" s="73">
        <f>IF(Q173="HS",I173-P173,0)</f>
        <v>0</v>
      </c>
      <c r="T173" s="73">
        <f>IF(Q173="PS",H173,0)</f>
        <v>0</v>
      </c>
      <c r="U173" s="73">
        <f>IF(Q173="PS",I173-P173,0)</f>
        <v>0</v>
      </c>
      <c r="V173" s="73">
        <f>IF(Q173="MP",H173,0)</f>
        <v>0</v>
      </c>
      <c r="W173" s="73">
        <f>IF(Q173="MP",I173-P173,0)</f>
        <v>0</v>
      </c>
      <c r="X173" s="73">
        <f>IF(Q173="OM",H173,0)</f>
        <v>0</v>
      </c>
      <c r="Y173" s="68"/>
      <c r="AI173" s="73">
        <f>SUM(Z174:Z176)</f>
        <v>0</v>
      </c>
      <c r="AJ173" s="73">
        <f>SUM(AA174:AA176)</f>
        <v>0</v>
      </c>
      <c r="AK173" s="73">
        <f>SUM(AB174:AB176)</f>
        <v>0</v>
      </c>
    </row>
    <row r="174" spans="1:32" ht="12.75">
      <c r="A174" s="10" t="s">
        <v>568</v>
      </c>
      <c r="B174" s="10"/>
      <c r="C174" s="10" t="s">
        <v>569</v>
      </c>
      <c r="D174" s="10" t="s">
        <v>570</v>
      </c>
      <c r="E174" s="10" t="s">
        <v>190</v>
      </c>
      <c r="F174" s="51">
        <v>116.42</v>
      </c>
      <c r="H174" s="51">
        <f>ROUND(F174*AE174,2)</f>
        <v>0</v>
      </c>
      <c r="I174" s="51">
        <f>J174-H174</f>
        <v>0</v>
      </c>
      <c r="J174" s="51">
        <f>ROUND(F174*G174,2)</f>
        <v>0</v>
      </c>
      <c r="K174" s="51">
        <v>0.00059</v>
      </c>
      <c r="L174" s="51">
        <f>F174*K174</f>
        <v>0.06868780000000001</v>
      </c>
      <c r="N174" s="74" t="s">
        <v>159</v>
      </c>
      <c r="O174" s="51">
        <f>IF(N174="5",I174,0)</f>
        <v>0</v>
      </c>
      <c r="Z174" s="51">
        <f>IF(AD174=0,J174,0)</f>
        <v>0</v>
      </c>
      <c r="AA174" s="51">
        <f>IF(AD174=10,J174,0)</f>
        <v>0</v>
      </c>
      <c r="AB174" s="51">
        <f>IF(AD174=20,J174,0)</f>
        <v>0</v>
      </c>
      <c r="AD174" s="51">
        <v>20</v>
      </c>
      <c r="AE174" s="51">
        <f>G174*0.450129347513653</f>
        <v>0</v>
      </c>
      <c r="AF174" s="51">
        <f>G174*(1-0.450129347513653)</f>
        <v>0</v>
      </c>
    </row>
    <row r="175" spans="1:32" ht="12.75">
      <c r="A175" s="10" t="s">
        <v>571</v>
      </c>
      <c r="B175" s="10"/>
      <c r="C175" s="10" t="s">
        <v>572</v>
      </c>
      <c r="D175" s="10" t="s">
        <v>573</v>
      </c>
      <c r="E175" s="10" t="s">
        <v>169</v>
      </c>
      <c r="F175" s="51">
        <v>299</v>
      </c>
      <c r="H175" s="51">
        <f>ROUND(F175*AE175,2)</f>
        <v>0</v>
      </c>
      <c r="I175" s="51">
        <f>J175-H175</f>
        <v>0</v>
      </c>
      <c r="J175" s="51">
        <f>ROUND(F175*G175,2)</f>
        <v>0</v>
      </c>
      <c r="K175" s="51">
        <v>0.00357</v>
      </c>
      <c r="L175" s="51">
        <f>F175*K175</f>
        <v>1.0674299999999999</v>
      </c>
      <c r="N175" s="74" t="s">
        <v>159</v>
      </c>
      <c r="O175" s="51">
        <f>IF(N175="5",I175,0)</f>
        <v>0</v>
      </c>
      <c r="Z175" s="51">
        <f>IF(AD175=0,J175,0)</f>
        <v>0</v>
      </c>
      <c r="AA175" s="51">
        <f>IF(AD175=10,J175,0)</f>
        <v>0</v>
      </c>
      <c r="AB175" s="51">
        <f>IF(AD175=20,J175,0)</f>
        <v>0</v>
      </c>
      <c r="AD175" s="51">
        <v>20</v>
      </c>
      <c r="AE175" s="51">
        <f>G175*0.824696594792035</f>
        <v>0</v>
      </c>
      <c r="AF175" s="51">
        <f>G175*(1-0.824696594792035)</f>
        <v>0</v>
      </c>
    </row>
    <row r="176" spans="1:32" ht="12.75">
      <c r="A176" s="10" t="s">
        <v>574</v>
      </c>
      <c r="B176" s="10"/>
      <c r="C176" s="10" t="s">
        <v>575</v>
      </c>
      <c r="D176" s="10" t="s">
        <v>576</v>
      </c>
      <c r="E176" s="10" t="s">
        <v>231</v>
      </c>
      <c r="F176" s="51">
        <v>1309.31</v>
      </c>
      <c r="H176" s="51">
        <f>ROUND(F176*AE176,2)</f>
        <v>0</v>
      </c>
      <c r="I176" s="51">
        <f>J176-H176</f>
        <v>0</v>
      </c>
      <c r="J176" s="51">
        <f>ROUND(F176*G176,2)</f>
        <v>0</v>
      </c>
      <c r="K176" s="51">
        <v>0</v>
      </c>
      <c r="L176" s="51">
        <f>F176*K176</f>
        <v>0</v>
      </c>
      <c r="N176" s="74" t="s">
        <v>173</v>
      </c>
      <c r="O176" s="51">
        <f>IF(N176="5",I176,0)</f>
        <v>0</v>
      </c>
      <c r="Z176" s="51">
        <f>IF(AD176=0,J176,0)</f>
        <v>0</v>
      </c>
      <c r="AA176" s="51">
        <f>IF(AD176=10,J176,0)</f>
        <v>0</v>
      </c>
      <c r="AB176" s="51">
        <f>IF(AD176=20,J176,0)</f>
        <v>0</v>
      </c>
      <c r="AD176" s="51">
        <v>20</v>
      </c>
      <c r="AE176" s="51">
        <f>G176*0</f>
        <v>0</v>
      </c>
      <c r="AF176" s="51">
        <f>G176*(1-0)</f>
        <v>0</v>
      </c>
    </row>
    <row r="177" spans="1:37" ht="12.75">
      <c r="A177" s="75"/>
      <c r="B177" s="75"/>
      <c r="C177" s="76" t="s">
        <v>120</v>
      </c>
      <c r="D177" s="76" t="s">
        <v>121</v>
      </c>
      <c r="E177" s="76"/>
      <c r="F177" s="76"/>
      <c r="G177" s="76"/>
      <c r="H177" s="73">
        <f>SUM(H178:H182)</f>
        <v>0</v>
      </c>
      <c r="I177" s="73">
        <f>SUM(I178:I182)</f>
        <v>0</v>
      </c>
      <c r="J177" s="73">
        <f>H177+I177</f>
        <v>0</v>
      </c>
      <c r="K177" s="68"/>
      <c r="L177" s="73">
        <f>SUM(L178:L182)</f>
        <v>2.0881578</v>
      </c>
      <c r="P177" s="73">
        <f>IF(Q177="PR",J177,SUM(O178:O182))</f>
        <v>0</v>
      </c>
      <c r="Q177" s="68" t="s">
        <v>221</v>
      </c>
      <c r="R177" s="73">
        <f>IF(Q177="HS",H177,0)</f>
        <v>0</v>
      </c>
      <c r="S177" s="73">
        <f>IF(Q177="HS",I177-P177,0)</f>
        <v>0</v>
      </c>
      <c r="T177" s="73">
        <f>IF(Q177="PS",H177,0)</f>
        <v>0</v>
      </c>
      <c r="U177" s="73">
        <f>IF(Q177="PS",I177-P177,0)</f>
        <v>0</v>
      </c>
      <c r="V177" s="73">
        <f>IF(Q177="MP",H177,0)</f>
        <v>0</v>
      </c>
      <c r="W177" s="73">
        <f>IF(Q177="MP",I177-P177,0)</f>
        <v>0</v>
      </c>
      <c r="X177" s="73">
        <f>IF(Q177="OM",H177,0)</f>
        <v>0</v>
      </c>
      <c r="Y177" s="68"/>
      <c r="AI177" s="73">
        <f>SUM(Z178:Z182)</f>
        <v>0</v>
      </c>
      <c r="AJ177" s="73">
        <f>SUM(AA178:AA182)</f>
        <v>0</v>
      </c>
      <c r="AK177" s="73">
        <f>SUM(AB178:AB182)</f>
        <v>0</v>
      </c>
    </row>
    <row r="178" spans="1:32" ht="12.75">
      <c r="A178" s="10" t="s">
        <v>577</v>
      </c>
      <c r="B178" s="10"/>
      <c r="C178" s="10" t="s">
        <v>578</v>
      </c>
      <c r="D178" s="10" t="s">
        <v>579</v>
      </c>
      <c r="E178" s="10" t="s">
        <v>169</v>
      </c>
      <c r="F178" s="51">
        <v>136.41</v>
      </c>
      <c r="H178" s="51">
        <f>ROUND(F178*AE178,2)</f>
        <v>0</v>
      </c>
      <c r="I178" s="51">
        <f>J178-H178</f>
        <v>0</v>
      </c>
      <c r="J178" s="51">
        <f>ROUND(F178*G178,2)</f>
        <v>0</v>
      </c>
      <c r="K178" s="51">
        <v>0.0122</v>
      </c>
      <c r="L178" s="51">
        <f>F178*K178</f>
        <v>1.664202</v>
      </c>
      <c r="N178" s="74" t="s">
        <v>200</v>
      </c>
      <c r="O178" s="51">
        <f>IF(N178="5",I178,0)</f>
        <v>0</v>
      </c>
      <c r="Z178" s="51">
        <f>IF(AD178=0,J178,0)</f>
        <v>0</v>
      </c>
      <c r="AA178" s="51">
        <f>IF(AD178=10,J178,0)</f>
        <v>0</v>
      </c>
      <c r="AB178" s="51">
        <f>IF(AD178=20,J178,0)</f>
        <v>0</v>
      </c>
      <c r="AD178" s="51">
        <v>20</v>
      </c>
      <c r="AE178" s="51">
        <f>G178*1</f>
        <v>0</v>
      </c>
      <c r="AF178" s="51">
        <f>G178*(1-1)</f>
        <v>0</v>
      </c>
    </row>
    <row r="179" spans="1:32" ht="12.75">
      <c r="A179" s="10" t="s">
        <v>580</v>
      </c>
      <c r="B179" s="10"/>
      <c r="C179" s="10" t="s">
        <v>581</v>
      </c>
      <c r="D179" s="10" t="s">
        <v>582</v>
      </c>
      <c r="E179" s="10" t="s">
        <v>169</v>
      </c>
      <c r="F179" s="51">
        <v>133.74</v>
      </c>
      <c r="H179" s="51">
        <f>ROUND(F179*AE179,2)</f>
        <v>0</v>
      </c>
      <c r="I179" s="51">
        <f>J179-H179</f>
        <v>0</v>
      </c>
      <c r="J179" s="51">
        <f>ROUND(F179*G179,2)</f>
        <v>0</v>
      </c>
      <c r="K179" s="51">
        <v>0.0027</v>
      </c>
      <c r="L179" s="51">
        <f>F179*K179</f>
        <v>0.36109800000000003</v>
      </c>
      <c r="N179" s="74" t="s">
        <v>159</v>
      </c>
      <c r="O179" s="51">
        <f>IF(N179="5",I179,0)</f>
        <v>0</v>
      </c>
      <c r="Z179" s="51">
        <f>IF(AD179=0,J179,0)</f>
        <v>0</v>
      </c>
      <c r="AA179" s="51">
        <f>IF(AD179=10,J179,0)</f>
        <v>0</v>
      </c>
      <c r="AB179" s="51">
        <f>IF(AD179=20,J179,0)</f>
        <v>0</v>
      </c>
      <c r="AD179" s="51">
        <v>20</v>
      </c>
      <c r="AE179" s="51">
        <f>G179*0.15921926910299</f>
        <v>0</v>
      </c>
      <c r="AF179" s="51">
        <f>G179*(1-0.15921926910299)</f>
        <v>0</v>
      </c>
    </row>
    <row r="180" spans="1:32" ht="12.75">
      <c r="A180" s="10" t="s">
        <v>583</v>
      </c>
      <c r="B180" s="10"/>
      <c r="C180" s="10" t="s">
        <v>584</v>
      </c>
      <c r="D180" s="10" t="s">
        <v>585</v>
      </c>
      <c r="E180" s="10" t="s">
        <v>169</v>
      </c>
      <c r="F180" s="51">
        <v>27.56</v>
      </c>
      <c r="H180" s="51">
        <f>ROUND(F180*AE180,2)</f>
        <v>0</v>
      </c>
      <c r="I180" s="51">
        <f>J180-H180</f>
        <v>0</v>
      </c>
      <c r="J180" s="51">
        <f>ROUND(F180*G180,2)</f>
        <v>0</v>
      </c>
      <c r="K180" s="51">
        <v>0</v>
      </c>
      <c r="L180" s="51">
        <f>F180*K180</f>
        <v>0</v>
      </c>
      <c r="N180" s="74" t="s">
        <v>159</v>
      </c>
      <c r="O180" s="51">
        <f>IF(N180="5",I180,0)</f>
        <v>0</v>
      </c>
      <c r="Z180" s="51">
        <f>IF(AD180=0,J180,0)</f>
        <v>0</v>
      </c>
      <c r="AA180" s="51">
        <f>IF(AD180=10,J180,0)</f>
        <v>0</v>
      </c>
      <c r="AB180" s="51">
        <f>IF(AD180=20,J180,0)</f>
        <v>0</v>
      </c>
      <c r="AD180" s="51">
        <v>20</v>
      </c>
      <c r="AE180" s="51">
        <f>G180*0</f>
        <v>0</v>
      </c>
      <c r="AF180" s="51">
        <f>G180*(1-0)</f>
        <v>0</v>
      </c>
    </row>
    <row r="181" spans="1:32" ht="12.75">
      <c r="A181" s="10" t="s">
        <v>586</v>
      </c>
      <c r="B181" s="10"/>
      <c r="C181" s="10" t="s">
        <v>587</v>
      </c>
      <c r="D181" s="10" t="s">
        <v>561</v>
      </c>
      <c r="E181" s="10" t="s">
        <v>169</v>
      </c>
      <c r="F181" s="51">
        <v>133.74</v>
      </c>
      <c r="H181" s="51">
        <f>ROUND(F181*AE181,2)</f>
        <v>0</v>
      </c>
      <c r="I181" s="51">
        <f>J181-H181</f>
        <v>0</v>
      </c>
      <c r="J181" s="51">
        <f>ROUND(F181*G181,2)</f>
        <v>0</v>
      </c>
      <c r="K181" s="51">
        <v>0.00047</v>
      </c>
      <c r="L181" s="51">
        <f>F181*K181</f>
        <v>0.0628578</v>
      </c>
      <c r="N181" s="74" t="s">
        <v>159</v>
      </c>
      <c r="O181" s="51">
        <f>IF(N181="5",I181,0)</f>
        <v>0</v>
      </c>
      <c r="Z181" s="51">
        <f>IF(AD181=0,J181,0)</f>
        <v>0</v>
      </c>
      <c r="AA181" s="51">
        <f>IF(AD181=10,J181,0)</f>
        <v>0</v>
      </c>
      <c r="AB181" s="51">
        <f>IF(AD181=20,J181,0)</f>
        <v>0</v>
      </c>
      <c r="AD181" s="51">
        <v>20</v>
      </c>
      <c r="AE181" s="51">
        <f>G181*1</f>
        <v>0</v>
      </c>
      <c r="AF181" s="51">
        <f>G181*(1-1)</f>
        <v>0</v>
      </c>
    </row>
    <row r="182" spans="1:32" ht="12.75">
      <c r="A182" s="10" t="s">
        <v>588</v>
      </c>
      <c r="B182" s="10"/>
      <c r="C182" s="10" t="s">
        <v>589</v>
      </c>
      <c r="D182" s="10" t="s">
        <v>590</v>
      </c>
      <c r="E182" s="10" t="s">
        <v>231</v>
      </c>
      <c r="F182" s="51">
        <v>1096.1</v>
      </c>
      <c r="H182" s="51">
        <f>ROUND(F182*AE182,2)</f>
        <v>0</v>
      </c>
      <c r="I182" s="51">
        <f>J182-H182</f>
        <v>0</v>
      </c>
      <c r="J182" s="51">
        <f>ROUND(F182*G182,2)</f>
        <v>0</v>
      </c>
      <c r="K182" s="51">
        <v>0</v>
      </c>
      <c r="L182" s="51">
        <f>F182*K182</f>
        <v>0</v>
      </c>
      <c r="N182" s="74" t="s">
        <v>173</v>
      </c>
      <c r="O182" s="51">
        <f>IF(N182="5",I182,0)</f>
        <v>0</v>
      </c>
      <c r="Z182" s="51">
        <f>IF(AD182=0,J182,0)</f>
        <v>0</v>
      </c>
      <c r="AA182" s="51">
        <f>IF(AD182=10,J182,0)</f>
        <v>0</v>
      </c>
      <c r="AB182" s="51">
        <f>IF(AD182=20,J182,0)</f>
        <v>0</v>
      </c>
      <c r="AD182" s="51">
        <v>20</v>
      </c>
      <c r="AE182" s="51">
        <f>G182*0</f>
        <v>0</v>
      </c>
      <c r="AF182" s="51">
        <f>G182*(1-0)</f>
        <v>0</v>
      </c>
    </row>
    <row r="183" spans="1:37" ht="12.75">
      <c r="A183" s="75"/>
      <c r="B183" s="75"/>
      <c r="C183" s="76" t="s">
        <v>122</v>
      </c>
      <c r="D183" s="76" t="s">
        <v>123</v>
      </c>
      <c r="E183" s="76"/>
      <c r="F183" s="76"/>
      <c r="G183" s="76"/>
      <c r="H183" s="73">
        <f>SUM(H184:H186)</f>
        <v>0</v>
      </c>
      <c r="I183" s="73">
        <f>SUM(I184:I186)</f>
        <v>0</v>
      </c>
      <c r="J183" s="73">
        <f>H183+I183</f>
        <v>0</v>
      </c>
      <c r="K183" s="68"/>
      <c r="L183" s="73">
        <f>SUM(L184:L186)</f>
        <v>0.4980838</v>
      </c>
      <c r="P183" s="73">
        <f>IF(Q183="PR",J183,SUM(O184:O186))</f>
        <v>0</v>
      </c>
      <c r="Q183" s="68" t="s">
        <v>221</v>
      </c>
      <c r="R183" s="73">
        <f>IF(Q183="HS",H183,0)</f>
        <v>0</v>
      </c>
      <c r="S183" s="73">
        <f>IF(Q183="HS",I183-P183,0)</f>
        <v>0</v>
      </c>
      <c r="T183" s="73">
        <f>IF(Q183="PS",H183,0)</f>
        <v>0</v>
      </c>
      <c r="U183" s="73">
        <f>IF(Q183="PS",I183-P183,0)</f>
        <v>0</v>
      </c>
      <c r="V183" s="73">
        <f>IF(Q183="MP",H183,0)</f>
        <v>0</v>
      </c>
      <c r="W183" s="73">
        <f>IF(Q183="MP",I183-P183,0)</f>
        <v>0</v>
      </c>
      <c r="X183" s="73">
        <f>IF(Q183="OM",H183,0)</f>
        <v>0</v>
      </c>
      <c r="Y183" s="68"/>
      <c r="AI183" s="73">
        <f>SUM(Z184:Z186)</f>
        <v>0</v>
      </c>
      <c r="AJ183" s="73">
        <f>SUM(AA184:AA186)</f>
        <v>0</v>
      </c>
      <c r="AK183" s="73">
        <f>SUM(AB184:AB186)</f>
        <v>0</v>
      </c>
    </row>
    <row r="184" spans="1:32" ht="12.75">
      <c r="A184" s="10" t="s">
        <v>591</v>
      </c>
      <c r="B184" s="10"/>
      <c r="C184" s="10" t="s">
        <v>592</v>
      </c>
      <c r="D184" s="10" t="s">
        <v>593</v>
      </c>
      <c r="E184" s="10" t="s">
        <v>169</v>
      </c>
      <c r="F184" s="51">
        <v>84.29</v>
      </c>
      <c r="H184" s="51">
        <f>ROUND(F184*AE184,2)</f>
        <v>0</v>
      </c>
      <c r="I184" s="51">
        <f>J184-H184</f>
        <v>0</v>
      </c>
      <c r="J184" s="51">
        <f>ROUND(F184*G184,2)</f>
        <v>0</v>
      </c>
      <c r="K184" s="51">
        <v>0.00042</v>
      </c>
      <c r="L184" s="51">
        <f>F184*K184</f>
        <v>0.035401800000000004</v>
      </c>
      <c r="N184" s="74" t="s">
        <v>159</v>
      </c>
      <c r="O184" s="51">
        <f>IF(N184="5",I184,0)</f>
        <v>0</v>
      </c>
      <c r="Z184" s="51">
        <f>IF(AD184=0,J184,0)</f>
        <v>0</v>
      </c>
      <c r="AA184" s="51">
        <f>IF(AD184=10,J184,0)</f>
        <v>0</v>
      </c>
      <c r="AB184" s="51">
        <f>IF(AD184=20,J184,0)</f>
        <v>0</v>
      </c>
      <c r="AD184" s="51">
        <v>20</v>
      </c>
      <c r="AE184" s="51">
        <f>G184*0.473810549639934</f>
        <v>0</v>
      </c>
      <c r="AF184" s="51">
        <f>G184*(1-0.473810549639934)</f>
        <v>0</v>
      </c>
    </row>
    <row r="185" spans="1:32" ht="12.75">
      <c r="A185" s="10" t="s">
        <v>594</v>
      </c>
      <c r="B185" s="10"/>
      <c r="C185" s="10" t="s">
        <v>595</v>
      </c>
      <c r="D185" s="10" t="s">
        <v>596</v>
      </c>
      <c r="E185" s="10" t="s">
        <v>190</v>
      </c>
      <c r="F185" s="51">
        <v>33</v>
      </c>
      <c r="H185" s="51">
        <f>ROUND(F185*AE185,2)</f>
        <v>0</v>
      </c>
      <c r="I185" s="51">
        <f>J185-H185</f>
        <v>0</v>
      </c>
      <c r="J185" s="51">
        <f>ROUND(F185*G185,2)</f>
        <v>0</v>
      </c>
      <c r="K185" s="51">
        <v>8E-05</v>
      </c>
      <c r="L185" s="51">
        <f>F185*K185</f>
        <v>0.0026400000000000004</v>
      </c>
      <c r="N185" s="74" t="s">
        <v>159</v>
      </c>
      <c r="O185" s="51">
        <f>IF(N185="5",I185,0)</f>
        <v>0</v>
      </c>
      <c r="Z185" s="51">
        <f>IF(AD185=0,J185,0)</f>
        <v>0</v>
      </c>
      <c r="AA185" s="51">
        <f>IF(AD185=10,J185,0)</f>
        <v>0</v>
      </c>
      <c r="AB185" s="51">
        <f>IF(AD185=20,J185,0)</f>
        <v>0</v>
      </c>
      <c r="AD185" s="51">
        <v>20</v>
      </c>
      <c r="AE185" s="51">
        <f>G185*0.211914893617021</f>
        <v>0</v>
      </c>
      <c r="AF185" s="51">
        <f>G185*(1-0.211914893617021)</f>
        <v>0</v>
      </c>
    </row>
    <row r="186" spans="1:32" ht="12.75">
      <c r="A186" s="10" t="s">
        <v>597</v>
      </c>
      <c r="B186" s="10"/>
      <c r="C186" s="10" t="s">
        <v>598</v>
      </c>
      <c r="D186" s="10" t="s">
        <v>599</v>
      </c>
      <c r="E186" s="10" t="s">
        <v>169</v>
      </c>
      <c r="F186" s="51">
        <v>836.44</v>
      </c>
      <c r="H186" s="51">
        <f>ROUND(F186*AE186,2)</f>
        <v>0</v>
      </c>
      <c r="I186" s="51">
        <f>J186-H186</f>
        <v>0</v>
      </c>
      <c r="J186" s="51">
        <f>ROUND(F186*G186,2)</f>
        <v>0</v>
      </c>
      <c r="K186" s="51">
        <v>0.00055</v>
      </c>
      <c r="L186" s="51">
        <f>F186*K186</f>
        <v>0.46004200000000006</v>
      </c>
      <c r="N186" s="74" t="s">
        <v>159</v>
      </c>
      <c r="O186" s="51">
        <f>IF(N186="5",I186,0)</f>
        <v>0</v>
      </c>
      <c r="Z186" s="51">
        <f>IF(AD186=0,J186,0)</f>
        <v>0</v>
      </c>
      <c r="AA186" s="51">
        <f>IF(AD186=10,J186,0)</f>
        <v>0</v>
      </c>
      <c r="AB186" s="51">
        <f>IF(AD186=20,J186,0)</f>
        <v>0</v>
      </c>
      <c r="AD186" s="51">
        <v>20</v>
      </c>
      <c r="AE186" s="51">
        <f>G186*0.324175824175824</f>
        <v>0</v>
      </c>
      <c r="AF186" s="51">
        <f>G186*(1-0.324175824175824)</f>
        <v>0</v>
      </c>
    </row>
    <row r="187" spans="1:37" ht="12.75">
      <c r="A187" s="75"/>
      <c r="B187" s="75"/>
      <c r="C187" s="76" t="s">
        <v>124</v>
      </c>
      <c r="D187" s="76" t="s">
        <v>125</v>
      </c>
      <c r="E187" s="76"/>
      <c r="F187" s="76"/>
      <c r="G187" s="76"/>
      <c r="H187" s="73">
        <f>SUM(H188:H189)</f>
        <v>0</v>
      </c>
      <c r="I187" s="73">
        <f>SUM(I188:I189)</f>
        <v>0</v>
      </c>
      <c r="J187" s="73">
        <f>H187+I187</f>
        <v>0</v>
      </c>
      <c r="K187" s="68"/>
      <c r="L187" s="73">
        <f>SUM(L188:L189)</f>
        <v>0.32814380000000004</v>
      </c>
      <c r="P187" s="73">
        <f>IF(Q187="PR",J187,SUM(O188:O189))</f>
        <v>0</v>
      </c>
      <c r="Q187" s="68" t="s">
        <v>221</v>
      </c>
      <c r="R187" s="73">
        <f>IF(Q187="HS",H187,0)</f>
        <v>0</v>
      </c>
      <c r="S187" s="73">
        <f>IF(Q187="HS",I187-P187,0)</f>
        <v>0</v>
      </c>
      <c r="T187" s="73">
        <f>IF(Q187="PS",H187,0)</f>
        <v>0</v>
      </c>
      <c r="U187" s="73">
        <f>IF(Q187="PS",I187-P187,0)</f>
        <v>0</v>
      </c>
      <c r="V187" s="73">
        <f>IF(Q187="MP",H187,0)</f>
        <v>0</v>
      </c>
      <c r="W187" s="73">
        <f>IF(Q187="MP",I187-P187,0)</f>
        <v>0</v>
      </c>
      <c r="X187" s="73">
        <f>IF(Q187="OM",H187,0)</f>
        <v>0</v>
      </c>
      <c r="Y187" s="68"/>
      <c r="AI187" s="73">
        <f>SUM(Z188:Z189)</f>
        <v>0</v>
      </c>
      <c r="AJ187" s="73">
        <f>SUM(AA188:AA189)</f>
        <v>0</v>
      </c>
      <c r="AK187" s="73">
        <f>SUM(AB188:AB189)</f>
        <v>0</v>
      </c>
    </row>
    <row r="188" spans="1:32" ht="12.75">
      <c r="A188" s="10" t="s">
        <v>600</v>
      </c>
      <c r="B188" s="10"/>
      <c r="C188" s="10" t="s">
        <v>601</v>
      </c>
      <c r="D188" s="10" t="s">
        <v>602</v>
      </c>
      <c r="E188" s="10" t="s">
        <v>169</v>
      </c>
      <c r="F188" s="51">
        <v>1418.74</v>
      </c>
      <c r="H188" s="51">
        <f>ROUND(F188*AE188,2)</f>
        <v>0</v>
      </c>
      <c r="I188" s="51">
        <f>J188-H188</f>
        <v>0</v>
      </c>
      <c r="J188" s="51">
        <f>ROUND(F188*G188,2)</f>
        <v>0</v>
      </c>
      <c r="K188" s="51">
        <v>7E-05</v>
      </c>
      <c r="L188" s="51">
        <f>F188*K188</f>
        <v>0.09931179999999999</v>
      </c>
      <c r="N188" s="74" t="s">
        <v>159</v>
      </c>
      <c r="O188" s="51">
        <f>IF(N188="5",I188,0)</f>
        <v>0</v>
      </c>
      <c r="Z188" s="51">
        <f>IF(AD188=0,J188,0)</f>
        <v>0</v>
      </c>
      <c r="AA188" s="51">
        <f>IF(AD188=10,J188,0)</f>
        <v>0</v>
      </c>
      <c r="AB188" s="51">
        <f>IF(AD188=20,J188,0)</f>
        <v>0</v>
      </c>
      <c r="AD188" s="51">
        <v>20</v>
      </c>
      <c r="AE188" s="51">
        <f>G188*0.165981922760887</f>
        <v>0</v>
      </c>
      <c r="AF188" s="51">
        <f>G188*(1-0.165981922760887)</f>
        <v>0</v>
      </c>
    </row>
    <row r="189" spans="1:32" ht="12.75">
      <c r="A189" s="10" t="s">
        <v>603</v>
      </c>
      <c r="B189" s="10"/>
      <c r="C189" s="10" t="s">
        <v>604</v>
      </c>
      <c r="D189" s="10" t="s">
        <v>605</v>
      </c>
      <c r="E189" s="10" t="s">
        <v>169</v>
      </c>
      <c r="F189" s="51">
        <v>1430.2</v>
      </c>
      <c r="H189" s="51">
        <f>ROUND(F189*AE189,2)</f>
        <v>0</v>
      </c>
      <c r="I189" s="51">
        <f>J189-H189</f>
        <v>0</v>
      </c>
      <c r="J189" s="51">
        <f>ROUND(F189*G189,2)</f>
        <v>0</v>
      </c>
      <c r="K189" s="51">
        <v>0.00016</v>
      </c>
      <c r="L189" s="51">
        <f>F189*K189</f>
        <v>0.22883200000000004</v>
      </c>
      <c r="N189" s="74" t="s">
        <v>159</v>
      </c>
      <c r="O189" s="51">
        <f>IF(N189="5",I189,0)</f>
        <v>0</v>
      </c>
      <c r="Z189" s="51">
        <f>IF(AD189=0,J189,0)</f>
        <v>0</v>
      </c>
      <c r="AA189" s="51">
        <f>IF(AD189=10,J189,0)</f>
        <v>0</v>
      </c>
      <c r="AB189" s="51">
        <f>IF(AD189=20,J189,0)</f>
        <v>0</v>
      </c>
      <c r="AD189" s="51">
        <v>20</v>
      </c>
      <c r="AE189" s="51">
        <f>G189*0.0864445720850086</f>
        <v>0</v>
      </c>
      <c r="AF189" s="51">
        <f>G189*(1-0.0864445720850086)</f>
        <v>0</v>
      </c>
    </row>
    <row r="190" spans="1:37" ht="12.75">
      <c r="A190" s="75"/>
      <c r="B190" s="75"/>
      <c r="C190" s="76" t="s">
        <v>126</v>
      </c>
      <c r="D190" s="76" t="s">
        <v>127</v>
      </c>
      <c r="E190" s="76"/>
      <c r="F190" s="76"/>
      <c r="G190" s="76"/>
      <c r="H190" s="73">
        <f>SUM(H191:H192)</f>
        <v>0</v>
      </c>
      <c r="I190" s="73">
        <f>SUM(I191:I192)</f>
        <v>0</v>
      </c>
      <c r="J190" s="73">
        <f>H190+I190</f>
        <v>0</v>
      </c>
      <c r="K190" s="68"/>
      <c r="L190" s="73">
        <f>SUM(L191:L192)</f>
        <v>2.108307</v>
      </c>
      <c r="P190" s="73">
        <f>IF(Q190="PR",J190,SUM(O191:O192))</f>
        <v>0</v>
      </c>
      <c r="Q190" s="68" t="s">
        <v>221</v>
      </c>
      <c r="R190" s="73">
        <f>IF(Q190="HS",H190,0)</f>
        <v>0</v>
      </c>
      <c r="S190" s="73">
        <f>IF(Q190="HS",I190-P190,0)</f>
        <v>0</v>
      </c>
      <c r="T190" s="73">
        <f>IF(Q190="PS",H190,0)</f>
        <v>0</v>
      </c>
      <c r="U190" s="73">
        <f>IF(Q190="PS",I190-P190,0)</f>
        <v>0</v>
      </c>
      <c r="V190" s="73">
        <f>IF(Q190="MP",H190,0)</f>
        <v>0</v>
      </c>
      <c r="W190" s="73">
        <f>IF(Q190="MP",I190-P190,0)</f>
        <v>0</v>
      </c>
      <c r="X190" s="73">
        <f>IF(Q190="OM",H190,0)</f>
        <v>0</v>
      </c>
      <c r="Y190" s="68"/>
      <c r="AI190" s="73">
        <f>SUM(Z191:Z192)</f>
        <v>0</v>
      </c>
      <c r="AJ190" s="73">
        <f>SUM(AA191:AA192)</f>
        <v>0</v>
      </c>
      <c r="AK190" s="73">
        <f>SUM(AB191:AB192)</f>
        <v>0</v>
      </c>
    </row>
    <row r="191" spans="1:32" ht="12.75">
      <c r="A191" s="10" t="s">
        <v>606</v>
      </c>
      <c r="B191" s="10"/>
      <c r="C191" s="10" t="s">
        <v>607</v>
      </c>
      <c r="D191" s="10" t="s">
        <v>608</v>
      </c>
      <c r="E191" s="10" t="s">
        <v>169</v>
      </c>
      <c r="F191" s="51">
        <v>68.23</v>
      </c>
      <c r="H191" s="51">
        <f>ROUND(F191*AE191,2)</f>
        <v>0</v>
      </c>
      <c r="I191" s="51">
        <f>J191-H191</f>
        <v>0</v>
      </c>
      <c r="J191" s="51">
        <f>ROUND(F191*G191,2)</f>
        <v>0</v>
      </c>
      <c r="K191" s="51">
        <v>0.0309</v>
      </c>
      <c r="L191" s="51">
        <f>F191*K191</f>
        <v>2.108307</v>
      </c>
      <c r="N191" s="74" t="s">
        <v>159</v>
      </c>
      <c r="O191" s="51">
        <f>IF(N191="5",I191,0)</f>
        <v>0</v>
      </c>
      <c r="Z191" s="51">
        <f>IF(AD191=0,J191,0)</f>
        <v>0</v>
      </c>
      <c r="AA191" s="51">
        <f>IF(AD191=10,J191,0)</f>
        <v>0</v>
      </c>
      <c r="AB191" s="51">
        <f>IF(AD191=20,J191,0)</f>
        <v>0</v>
      </c>
      <c r="AD191" s="51">
        <v>20</v>
      </c>
      <c r="AE191" s="51">
        <f>G191*0.902740175896705</f>
        <v>0</v>
      </c>
      <c r="AF191" s="51">
        <f>G191*(1-0.902740175896705)</f>
        <v>0</v>
      </c>
    </row>
    <row r="192" spans="1:32" ht="12.75">
      <c r="A192" s="10" t="s">
        <v>609</v>
      </c>
      <c r="B192" s="10"/>
      <c r="C192" s="10" t="s">
        <v>610</v>
      </c>
      <c r="D192" s="10" t="s">
        <v>611</v>
      </c>
      <c r="E192" s="10" t="s">
        <v>231</v>
      </c>
      <c r="F192" s="51">
        <v>1703.65</v>
      </c>
      <c r="H192" s="51">
        <f>ROUND(F192*AE192,2)</f>
        <v>0</v>
      </c>
      <c r="I192" s="51">
        <f>J192-H192</f>
        <v>0</v>
      </c>
      <c r="J192" s="51">
        <f>ROUND(F192*G192,2)</f>
        <v>0</v>
      </c>
      <c r="K192" s="51">
        <v>0</v>
      </c>
      <c r="L192" s="51">
        <f>F192*K192</f>
        <v>0</v>
      </c>
      <c r="N192" s="74" t="s">
        <v>173</v>
      </c>
      <c r="O192" s="51">
        <f>IF(N192="5",I192,0)</f>
        <v>0</v>
      </c>
      <c r="Z192" s="51">
        <f>IF(AD192=0,J192,0)</f>
        <v>0</v>
      </c>
      <c r="AA192" s="51">
        <f>IF(AD192=10,J192,0)</f>
        <v>0</v>
      </c>
      <c r="AB192" s="51">
        <f>IF(AD192=20,J192,0)</f>
        <v>0</v>
      </c>
      <c r="AD192" s="51">
        <v>20</v>
      </c>
      <c r="AE192" s="51">
        <f>G192*0</f>
        <v>0</v>
      </c>
      <c r="AF192" s="51">
        <f>G192*(1-0)</f>
        <v>0</v>
      </c>
    </row>
    <row r="193" spans="1:37" ht="12.75">
      <c r="A193" s="75"/>
      <c r="B193" s="75"/>
      <c r="C193" s="76" t="s">
        <v>128</v>
      </c>
      <c r="D193" s="76" t="s">
        <v>129</v>
      </c>
      <c r="E193" s="76"/>
      <c r="F193" s="76"/>
      <c r="G193" s="76"/>
      <c r="H193" s="73">
        <f>SUM(H194:H195)</f>
        <v>0</v>
      </c>
      <c r="I193" s="73">
        <f>SUM(I194:I195)</f>
        <v>0</v>
      </c>
      <c r="J193" s="73">
        <f>H193+I193</f>
        <v>0</v>
      </c>
      <c r="K193" s="68"/>
      <c r="L193" s="73">
        <f>SUM(L194:L195)</f>
        <v>0</v>
      </c>
      <c r="P193" s="73">
        <f>IF(Q193="PR",J193,SUM(O194:O195))</f>
        <v>0</v>
      </c>
      <c r="Q193" s="68" t="s">
        <v>221</v>
      </c>
      <c r="R193" s="73">
        <f>IF(Q193="HS",H193,0)</f>
        <v>0</v>
      </c>
      <c r="S193" s="73">
        <f>IF(Q193="HS",I193-P193,0)</f>
        <v>0</v>
      </c>
      <c r="T193" s="73">
        <f>IF(Q193="PS",H193,0)</f>
        <v>0</v>
      </c>
      <c r="U193" s="73">
        <f>IF(Q193="PS",I193-P193,0)</f>
        <v>0</v>
      </c>
      <c r="V193" s="73">
        <f>IF(Q193="MP",H193,0)</f>
        <v>0</v>
      </c>
      <c r="W193" s="73">
        <f>IF(Q193="MP",I193-P193,0)</f>
        <v>0</v>
      </c>
      <c r="X193" s="73">
        <f>IF(Q193="OM",H193,0)</f>
        <v>0</v>
      </c>
      <c r="Y193" s="68"/>
      <c r="AI193" s="73">
        <f>SUM(Z194:Z195)</f>
        <v>0</v>
      </c>
      <c r="AJ193" s="73">
        <f>SUM(AA194:AA195)</f>
        <v>0</v>
      </c>
      <c r="AK193" s="73">
        <f>SUM(AB194:AB195)</f>
        <v>0</v>
      </c>
    </row>
    <row r="194" spans="1:32" ht="12.75">
      <c r="A194" s="10" t="s">
        <v>612</v>
      </c>
      <c r="B194" s="10"/>
      <c r="C194" s="10" t="s">
        <v>613</v>
      </c>
      <c r="D194" s="10" t="s">
        <v>614</v>
      </c>
      <c r="E194" s="10" t="s">
        <v>539</v>
      </c>
      <c r="F194" s="51">
        <v>3</v>
      </c>
      <c r="H194" s="51">
        <f>ROUND(F194*AE194,2)</f>
        <v>0</v>
      </c>
      <c r="I194" s="51">
        <f>J194-H194</f>
        <v>0</v>
      </c>
      <c r="J194" s="51">
        <f>ROUND(F194*G194,2)</f>
        <v>0</v>
      </c>
      <c r="K194" s="51">
        <v>0</v>
      </c>
      <c r="L194" s="51">
        <f>F194*K194</f>
        <v>0</v>
      </c>
      <c r="N194" s="74" t="s">
        <v>159</v>
      </c>
      <c r="O194" s="51">
        <f>IF(N194="5",I194,0)</f>
        <v>0</v>
      </c>
      <c r="Z194" s="51">
        <f>IF(AD194=0,J194,0)</f>
        <v>0</v>
      </c>
      <c r="AA194" s="51">
        <f>IF(AD194=10,J194,0)</f>
        <v>0</v>
      </c>
      <c r="AB194" s="51">
        <f>IF(AD194=20,J194,0)</f>
        <v>0</v>
      </c>
      <c r="AD194" s="51">
        <v>20</v>
      </c>
      <c r="AE194" s="51">
        <f>G194*1</f>
        <v>0</v>
      </c>
      <c r="AF194" s="51">
        <f>G194*(1-1)</f>
        <v>0</v>
      </c>
    </row>
    <row r="195" spans="1:32" ht="12.75">
      <c r="A195" s="10" t="s">
        <v>615</v>
      </c>
      <c r="B195" s="10"/>
      <c r="C195" s="10" t="s">
        <v>616</v>
      </c>
      <c r="D195" s="10" t="s">
        <v>617</v>
      </c>
      <c r="E195" s="10" t="s">
        <v>539</v>
      </c>
      <c r="F195" s="51">
        <v>5</v>
      </c>
      <c r="H195" s="51">
        <f>ROUND(F195*AE195,2)</f>
        <v>0</v>
      </c>
      <c r="I195" s="51">
        <f>J195-H195</f>
        <v>0</v>
      </c>
      <c r="J195" s="51">
        <f>ROUND(F195*G195,2)</f>
        <v>0</v>
      </c>
      <c r="K195" s="51">
        <v>0</v>
      </c>
      <c r="L195" s="51">
        <f>F195*K195</f>
        <v>0</v>
      </c>
      <c r="N195" s="74" t="s">
        <v>159</v>
      </c>
      <c r="O195" s="51">
        <f>IF(N195="5",I195,0)</f>
        <v>0</v>
      </c>
      <c r="Z195" s="51">
        <f>IF(AD195=0,J195,0)</f>
        <v>0</v>
      </c>
      <c r="AA195" s="51">
        <f>IF(AD195=10,J195,0)</f>
        <v>0</v>
      </c>
      <c r="AB195" s="51">
        <f>IF(AD195=20,J195,0)</f>
        <v>0</v>
      </c>
      <c r="AD195" s="51">
        <v>20</v>
      </c>
      <c r="AE195" s="51">
        <f>G195*0.833333333333333</f>
        <v>0</v>
      </c>
      <c r="AF195" s="51">
        <f>G195*(1-0.833333333333333)</f>
        <v>0</v>
      </c>
    </row>
    <row r="196" spans="1:37" ht="12.75">
      <c r="A196" s="75"/>
      <c r="B196" s="75"/>
      <c r="C196" s="76" t="s">
        <v>130</v>
      </c>
      <c r="D196" s="76" t="s">
        <v>131</v>
      </c>
      <c r="E196" s="76"/>
      <c r="F196" s="76"/>
      <c r="G196" s="76"/>
      <c r="H196" s="73">
        <f>SUM(H197:H200)</f>
        <v>0</v>
      </c>
      <c r="I196" s="73">
        <f>SUM(I197:I200)</f>
        <v>0</v>
      </c>
      <c r="J196" s="73">
        <f>H196+I196</f>
        <v>0</v>
      </c>
      <c r="K196" s="68"/>
      <c r="L196" s="73">
        <f>SUM(L197:L200)</f>
        <v>40.9371098</v>
      </c>
      <c r="P196" s="73">
        <f>IF(Q196="PR",J196,SUM(O197:O200))</f>
        <v>0</v>
      </c>
      <c r="Q196" s="68" t="s">
        <v>158</v>
      </c>
      <c r="R196" s="73">
        <f>IF(Q196="HS",H196,0)</f>
        <v>0</v>
      </c>
      <c r="S196" s="73">
        <f>IF(Q196="HS",I196-P196,0)</f>
        <v>0</v>
      </c>
      <c r="T196" s="73">
        <f>IF(Q196="PS",H196,0)</f>
        <v>0</v>
      </c>
      <c r="U196" s="73">
        <f>IF(Q196="PS",I196-P196,0)</f>
        <v>0</v>
      </c>
      <c r="V196" s="73">
        <f>IF(Q196="MP",H196,0)</f>
        <v>0</v>
      </c>
      <c r="W196" s="73">
        <f>IF(Q196="MP",I196-P196,0)</f>
        <v>0</v>
      </c>
      <c r="X196" s="73">
        <f>IF(Q196="OM",H196,0)</f>
        <v>0</v>
      </c>
      <c r="Y196" s="68"/>
      <c r="AI196" s="73">
        <f>SUM(Z197:Z200)</f>
        <v>0</v>
      </c>
      <c r="AJ196" s="73">
        <f>SUM(AA197:AA200)</f>
        <v>0</v>
      </c>
      <c r="AK196" s="73">
        <f>SUM(AB197:AB200)</f>
        <v>0</v>
      </c>
    </row>
    <row r="197" spans="1:32" ht="12.75">
      <c r="A197" s="10" t="s">
        <v>618</v>
      </c>
      <c r="B197" s="10"/>
      <c r="C197" s="10" t="s">
        <v>619</v>
      </c>
      <c r="D197" s="10" t="s">
        <v>620</v>
      </c>
      <c r="E197" s="10" t="s">
        <v>169</v>
      </c>
      <c r="F197" s="51">
        <v>811.4</v>
      </c>
      <c r="H197" s="51">
        <f>ROUND(F197*AE197,2)</f>
        <v>0</v>
      </c>
      <c r="I197" s="51">
        <f>J197-H197</f>
        <v>0</v>
      </c>
      <c r="J197" s="51">
        <f>ROUND(F197*G197,2)</f>
        <v>0</v>
      </c>
      <c r="K197" s="51">
        <v>0.04406</v>
      </c>
      <c r="L197" s="51">
        <f>F197*K197</f>
        <v>35.750284</v>
      </c>
      <c r="N197" s="74" t="s">
        <v>159</v>
      </c>
      <c r="O197" s="51">
        <f>IF(N197="5",I197,0)</f>
        <v>0</v>
      </c>
      <c r="Z197" s="51">
        <f>IF(AD197=0,J197,0)</f>
        <v>0</v>
      </c>
      <c r="AA197" s="51">
        <f>IF(AD197=10,J197,0)</f>
        <v>0</v>
      </c>
      <c r="AB197" s="51">
        <f>IF(AD197=20,J197,0)</f>
        <v>0</v>
      </c>
      <c r="AD197" s="51">
        <v>20</v>
      </c>
      <c r="AE197" s="51">
        <f>G197*0.000844737286703835</f>
        <v>0</v>
      </c>
      <c r="AF197" s="51">
        <f>G197*(1-0.000844737286703835)</f>
        <v>0</v>
      </c>
    </row>
    <row r="198" spans="1:32" ht="12.75">
      <c r="A198" s="10" t="s">
        <v>621</v>
      </c>
      <c r="B198" s="10"/>
      <c r="C198" s="10" t="s">
        <v>622</v>
      </c>
      <c r="D198" s="10" t="s">
        <v>623</v>
      </c>
      <c r="E198" s="10" t="s">
        <v>169</v>
      </c>
      <c r="F198" s="51">
        <v>1622.8</v>
      </c>
      <c r="H198" s="51">
        <f>ROUND(F198*AE198,2)</f>
        <v>0</v>
      </c>
      <c r="I198" s="51">
        <f>J198-H198</f>
        <v>0</v>
      </c>
      <c r="J198" s="51">
        <f>ROUND(F198*G198,2)</f>
        <v>0</v>
      </c>
      <c r="K198" s="51">
        <v>0</v>
      </c>
      <c r="L198" s="51">
        <f>F198*K198</f>
        <v>0</v>
      </c>
      <c r="N198" s="74" t="s">
        <v>159</v>
      </c>
      <c r="O198" s="51">
        <f>IF(N198="5",I198,0)</f>
        <v>0</v>
      </c>
      <c r="Z198" s="51">
        <f>IF(AD198=0,J198,0)</f>
        <v>0</v>
      </c>
      <c r="AA198" s="51">
        <f>IF(AD198=10,J198,0)</f>
        <v>0</v>
      </c>
      <c r="AB198" s="51">
        <f>IF(AD198=20,J198,0)</f>
        <v>0</v>
      </c>
      <c r="AD198" s="51">
        <v>20</v>
      </c>
      <c r="AE198" s="51">
        <f>G198*0.953042161070437</f>
        <v>0</v>
      </c>
      <c r="AF198" s="51">
        <f>G198*(1-0.953042161070437)</f>
        <v>0</v>
      </c>
    </row>
    <row r="199" spans="1:32" ht="12.75">
      <c r="A199" s="10" t="s">
        <v>624</v>
      </c>
      <c r="B199" s="10"/>
      <c r="C199" s="10" t="s">
        <v>625</v>
      </c>
      <c r="D199" s="10" t="s">
        <v>626</v>
      </c>
      <c r="E199" s="10" t="s">
        <v>169</v>
      </c>
      <c r="F199" s="51">
        <v>811.4</v>
      </c>
      <c r="H199" s="51">
        <f>ROUND(F199*AE199,2)</f>
        <v>0</v>
      </c>
      <c r="I199" s="51">
        <f>J199-H199</f>
        <v>0</v>
      </c>
      <c r="J199" s="51">
        <f>ROUND(F199*G199,2)</f>
        <v>0</v>
      </c>
      <c r="K199" s="51">
        <v>0</v>
      </c>
      <c r="L199" s="51">
        <f>F199*K199</f>
        <v>0</v>
      </c>
      <c r="N199" s="74" t="s">
        <v>159</v>
      </c>
      <c r="O199" s="51">
        <f>IF(N199="5",I199,0)</f>
        <v>0</v>
      </c>
      <c r="Z199" s="51">
        <f>IF(AD199=0,J199,0)</f>
        <v>0</v>
      </c>
      <c r="AA199" s="51">
        <f>IF(AD199=10,J199,0)</f>
        <v>0</v>
      </c>
      <c r="AB199" s="51">
        <f>IF(AD199=20,J199,0)</f>
        <v>0</v>
      </c>
      <c r="AD199" s="51">
        <v>20</v>
      </c>
      <c r="AE199" s="51">
        <f>G199*0</f>
        <v>0</v>
      </c>
      <c r="AF199" s="51">
        <f>G199*(1-0)</f>
        <v>0</v>
      </c>
    </row>
    <row r="200" spans="1:32" ht="12.75">
      <c r="A200" s="10" t="s">
        <v>627</v>
      </c>
      <c r="B200" s="10"/>
      <c r="C200" s="10" t="s">
        <v>628</v>
      </c>
      <c r="D200" s="10" t="s">
        <v>629</v>
      </c>
      <c r="E200" s="10" t="s">
        <v>169</v>
      </c>
      <c r="F200" s="51">
        <v>127.66</v>
      </c>
      <c r="H200" s="51">
        <f>ROUND(F200*AE200,2)</f>
        <v>0</v>
      </c>
      <c r="I200" s="51">
        <f>J200-H200</f>
        <v>0</v>
      </c>
      <c r="J200" s="51">
        <f>ROUND(F200*G200,2)</f>
        <v>0</v>
      </c>
      <c r="K200" s="51">
        <v>0.04063</v>
      </c>
      <c r="L200" s="51">
        <f>F200*K200</f>
        <v>5.186825799999999</v>
      </c>
      <c r="N200" s="74" t="s">
        <v>159</v>
      </c>
      <c r="O200" s="51">
        <f>IF(N200="5",I200,0)</f>
        <v>0</v>
      </c>
      <c r="Z200" s="51">
        <f>IF(AD200=0,J200,0)</f>
        <v>0</v>
      </c>
      <c r="AA200" s="51">
        <f>IF(AD200=10,J200,0)</f>
        <v>0</v>
      </c>
      <c r="AB200" s="51">
        <f>IF(AD200=20,J200,0)</f>
        <v>0</v>
      </c>
      <c r="AD200" s="51">
        <v>20</v>
      </c>
      <c r="AE200" s="51">
        <f>G200*0.505125815470643</f>
        <v>0</v>
      </c>
      <c r="AF200" s="51">
        <f>G200*(1-0.505125815470643)</f>
        <v>0</v>
      </c>
    </row>
    <row r="201" spans="1:37" ht="12.75">
      <c r="A201" s="75"/>
      <c r="B201" s="75"/>
      <c r="C201" s="76" t="s">
        <v>132</v>
      </c>
      <c r="D201" s="76" t="s">
        <v>133</v>
      </c>
      <c r="E201" s="76"/>
      <c r="F201" s="76"/>
      <c r="G201" s="76"/>
      <c r="H201" s="73">
        <f>SUM(H202:H202)</f>
        <v>0</v>
      </c>
      <c r="I201" s="73">
        <f>SUM(I202:I202)</f>
        <v>0</v>
      </c>
      <c r="J201" s="73">
        <f>H201+I201</f>
        <v>0</v>
      </c>
      <c r="K201" s="68"/>
      <c r="L201" s="73">
        <f>SUM(L202:L202)</f>
        <v>0</v>
      </c>
      <c r="P201" s="73">
        <f>IF(Q201="PR",J201,SUM(O202:O202))</f>
        <v>0</v>
      </c>
      <c r="Q201" s="68" t="s">
        <v>630</v>
      </c>
      <c r="R201" s="73">
        <f>IF(Q201="HS",H201,0)</f>
        <v>0</v>
      </c>
      <c r="S201" s="73">
        <f>IF(Q201="HS",I201-P201,0)</f>
        <v>0</v>
      </c>
      <c r="T201" s="73">
        <f>IF(Q201="PS",H201,0)</f>
        <v>0</v>
      </c>
      <c r="U201" s="73">
        <f>IF(Q201="PS",I201-P201,0)</f>
        <v>0</v>
      </c>
      <c r="V201" s="73">
        <f>IF(Q201="MP",H201,0)</f>
        <v>0</v>
      </c>
      <c r="W201" s="73">
        <f>IF(Q201="MP",I201-P201,0)</f>
        <v>0</v>
      </c>
      <c r="X201" s="73">
        <f>IF(Q201="OM",H201,0)</f>
        <v>0</v>
      </c>
      <c r="Y201" s="68"/>
      <c r="AI201" s="73">
        <f>SUM(Z202:Z202)</f>
        <v>0</v>
      </c>
      <c r="AJ201" s="73">
        <f>SUM(AA202:AA202)</f>
        <v>0</v>
      </c>
      <c r="AK201" s="73">
        <f>SUM(AB202:AB202)</f>
        <v>0</v>
      </c>
    </row>
    <row r="202" spans="1:32" ht="12.75">
      <c r="A202" s="10" t="s">
        <v>631</v>
      </c>
      <c r="B202" s="10"/>
      <c r="C202" s="10" t="s">
        <v>632</v>
      </c>
      <c r="D202" s="10" t="s">
        <v>633</v>
      </c>
      <c r="E202" s="10" t="s">
        <v>634</v>
      </c>
      <c r="F202" s="51">
        <v>126.62</v>
      </c>
      <c r="H202" s="51">
        <f>ROUND(F202*AE202,2)</f>
        <v>0</v>
      </c>
      <c r="I202" s="51">
        <f>J202-H202</f>
        <v>0</v>
      </c>
      <c r="J202" s="51">
        <f>ROUND(F202*G202,2)</f>
        <v>0</v>
      </c>
      <c r="K202" s="51">
        <v>0</v>
      </c>
      <c r="L202" s="51">
        <f>F202*K202</f>
        <v>0</v>
      </c>
      <c r="N202" s="74" t="s">
        <v>173</v>
      </c>
      <c r="O202" s="51">
        <f>IF(N202="5",I202,0)</f>
        <v>0</v>
      </c>
      <c r="Z202" s="51">
        <f>IF(AD202=0,J202,0)</f>
        <v>0</v>
      </c>
      <c r="AA202" s="51">
        <f>IF(AD202=10,J202,0)</f>
        <v>0</v>
      </c>
      <c r="AB202" s="51">
        <f>IF(AD202=20,J202,0)</f>
        <v>0</v>
      </c>
      <c r="AD202" s="51">
        <v>20</v>
      </c>
      <c r="AE202" s="51">
        <f>G202*0</f>
        <v>0</v>
      </c>
      <c r="AF202" s="51">
        <f>G202*(1-0)</f>
        <v>0</v>
      </c>
    </row>
    <row r="203" spans="1:37" ht="12.75">
      <c r="A203" s="75"/>
      <c r="B203" s="75"/>
      <c r="C203" s="76" t="s">
        <v>134</v>
      </c>
      <c r="D203" s="76" t="s">
        <v>135</v>
      </c>
      <c r="E203" s="76"/>
      <c r="F203" s="76"/>
      <c r="G203" s="76"/>
      <c r="H203" s="73">
        <f>SUM(H204:H204)</f>
        <v>0</v>
      </c>
      <c r="I203" s="73">
        <f>SUM(I204:I204)</f>
        <v>0</v>
      </c>
      <c r="J203" s="73">
        <f>H203+I203</f>
        <v>0</v>
      </c>
      <c r="K203" s="68"/>
      <c r="L203" s="73">
        <f>SUM(L204:L204)</f>
        <v>0</v>
      </c>
      <c r="P203" s="73">
        <f>IF(Q203="PR",J203,SUM(O204:O204))</f>
        <v>0</v>
      </c>
      <c r="Q203" s="68" t="s">
        <v>635</v>
      </c>
      <c r="R203" s="73">
        <f>IF(Q203="HS",H203,0)</f>
        <v>0</v>
      </c>
      <c r="S203" s="73">
        <f>IF(Q203="HS",I203-P203,0)</f>
        <v>0</v>
      </c>
      <c r="T203" s="73">
        <f>IF(Q203="PS",H203,0)</f>
        <v>0</v>
      </c>
      <c r="U203" s="73">
        <f>IF(Q203="PS",I203-P203,0)</f>
        <v>0</v>
      </c>
      <c r="V203" s="73">
        <f>IF(Q203="MP",H203,0)</f>
        <v>0</v>
      </c>
      <c r="W203" s="73">
        <f>IF(Q203="MP",I203-P203,0)</f>
        <v>0</v>
      </c>
      <c r="X203" s="73">
        <f>IF(Q203="OM",H203,0)</f>
        <v>0</v>
      </c>
      <c r="Y203" s="68"/>
      <c r="AI203" s="73">
        <f>SUM(Z204:Z204)</f>
        <v>0</v>
      </c>
      <c r="AJ203" s="73">
        <f>SUM(AA204:AA204)</f>
        <v>0</v>
      </c>
      <c r="AK203" s="73">
        <f>SUM(AB204:AB204)</f>
        <v>0</v>
      </c>
    </row>
    <row r="204" spans="1:32" ht="12.75">
      <c r="A204" s="10" t="s">
        <v>636</v>
      </c>
      <c r="B204" s="10"/>
      <c r="C204" s="10" t="s">
        <v>637</v>
      </c>
      <c r="D204" s="10" t="s">
        <v>638</v>
      </c>
      <c r="E204" s="10" t="s">
        <v>349</v>
      </c>
      <c r="F204" s="51">
        <v>1</v>
      </c>
      <c r="H204" s="51">
        <f>ROUND(F204*AE204,2)</f>
        <v>0</v>
      </c>
      <c r="I204" s="51">
        <f>J204-H204</f>
        <v>0</v>
      </c>
      <c r="J204" s="51">
        <f>ROUND(F204*G204,2)</f>
        <v>0</v>
      </c>
      <c r="K204" s="51">
        <v>0</v>
      </c>
      <c r="L204" s="51">
        <f>F204*K204</f>
        <v>0</v>
      </c>
      <c r="N204" s="74" t="s">
        <v>163</v>
      </c>
      <c r="O204" s="51">
        <f>IF(N204="5",I204,0)</f>
        <v>0</v>
      </c>
      <c r="Z204" s="51">
        <f>IF(AD204=0,J204,0)</f>
        <v>0</v>
      </c>
      <c r="AA204" s="51">
        <f>IF(AD204=10,J204,0)</f>
        <v>0</v>
      </c>
      <c r="AB204" s="51">
        <f>IF(AD204=20,J204,0)</f>
        <v>0</v>
      </c>
      <c r="AD204" s="51">
        <v>20</v>
      </c>
      <c r="AE204" s="51">
        <f>G204*0.778816199376947</f>
        <v>0</v>
      </c>
      <c r="AF204" s="51">
        <f>G204*(1-0.778816199376947)</f>
        <v>0</v>
      </c>
    </row>
    <row r="205" spans="1:37" ht="12.75">
      <c r="A205" s="75"/>
      <c r="B205" s="75"/>
      <c r="C205" s="76"/>
      <c r="D205" s="76" t="s">
        <v>44</v>
      </c>
      <c r="E205" s="76"/>
      <c r="F205" s="76"/>
      <c r="G205" s="76"/>
      <c r="H205" s="73">
        <f>SUM(H206:H206)</f>
        <v>0</v>
      </c>
      <c r="I205" s="73">
        <f>SUM(I206:I206)</f>
        <v>0</v>
      </c>
      <c r="J205" s="73">
        <f>H205+I205</f>
        <v>0</v>
      </c>
      <c r="K205" s="68"/>
      <c r="L205" s="73">
        <f>SUM(L206:L206)</f>
        <v>0.017</v>
      </c>
      <c r="P205" s="73">
        <f>IF(Q205="PR",J205,SUM(O206:O206))</f>
        <v>0</v>
      </c>
      <c r="Q205" s="68" t="s">
        <v>639</v>
      </c>
      <c r="R205" s="73">
        <f>IF(Q205="HS",H205,0)</f>
        <v>0</v>
      </c>
      <c r="S205" s="73">
        <f>IF(Q205="HS",I205-P205,0)</f>
        <v>0</v>
      </c>
      <c r="T205" s="73">
        <f>IF(Q205="PS",H205,0)</f>
        <v>0</v>
      </c>
      <c r="U205" s="73">
        <f>IF(Q205="PS",I205-P205,0)</f>
        <v>0</v>
      </c>
      <c r="V205" s="73">
        <f>IF(Q205="MP",H205,0)</f>
        <v>0</v>
      </c>
      <c r="W205" s="73">
        <f>IF(Q205="MP",I205-P205,0)</f>
        <v>0</v>
      </c>
      <c r="X205" s="73">
        <f>IF(Q205="OM",H205,0)</f>
        <v>0</v>
      </c>
      <c r="Y205" s="68"/>
      <c r="AI205" s="73">
        <f>SUM(Z206:Z206)</f>
        <v>0</v>
      </c>
      <c r="AJ205" s="73">
        <f>SUM(AA206:AA206)</f>
        <v>0</v>
      </c>
      <c r="AK205" s="73">
        <f>SUM(AB206:AB206)</f>
        <v>0</v>
      </c>
    </row>
    <row r="206" spans="1:32" ht="12.75">
      <c r="A206" s="15" t="s">
        <v>16</v>
      </c>
      <c r="B206" s="15"/>
      <c r="C206" s="15" t="s">
        <v>640</v>
      </c>
      <c r="D206" s="15" t="s">
        <v>641</v>
      </c>
      <c r="E206" s="15" t="s">
        <v>162</v>
      </c>
      <c r="F206" s="77">
        <v>2</v>
      </c>
      <c r="G206" s="31"/>
      <c r="H206" s="77">
        <f>ROUND(F206*AE206,2)</f>
        <v>0</v>
      </c>
      <c r="I206" s="77">
        <f>J206-H206</f>
        <v>0</v>
      </c>
      <c r="J206" s="77">
        <f>ROUND(F206*G206,2)</f>
        <v>0</v>
      </c>
      <c r="K206" s="77">
        <v>0.0085</v>
      </c>
      <c r="L206" s="77">
        <f>F206*K206</f>
        <v>0.017</v>
      </c>
      <c r="N206" s="74" t="s">
        <v>200</v>
      </c>
      <c r="O206" s="51">
        <f>IF(N206="5",I206,0)</f>
        <v>0</v>
      </c>
      <c r="Z206" s="51">
        <f>IF(AD206=0,J206,0)</f>
        <v>0</v>
      </c>
      <c r="AA206" s="51">
        <f>IF(AD206=10,J206,0)</f>
        <v>0</v>
      </c>
      <c r="AB206" s="51">
        <f>IF(AD206=20,J206,0)</f>
        <v>0</v>
      </c>
      <c r="AD206" s="51">
        <v>20</v>
      </c>
      <c r="AE206" s="51">
        <f>G206*1</f>
        <v>0</v>
      </c>
      <c r="AF206" s="51">
        <f>G206*(1-1)</f>
        <v>0</v>
      </c>
    </row>
    <row r="207" spans="1:28" ht="12.75">
      <c r="A207" s="27"/>
      <c r="B207" s="27"/>
      <c r="C207" s="27"/>
      <c r="D207" s="27"/>
      <c r="E207" s="27"/>
      <c r="F207" s="27"/>
      <c r="G207" s="27"/>
      <c r="H207" s="4" t="s">
        <v>136</v>
      </c>
      <c r="I207" s="4"/>
      <c r="J207" s="78">
        <f>J12+J15+J19+J21+J27+J29+J34+J40+J44+J52+J64+J80+J88+J98+J103+J114+J123+J131+J133+J138+J141+J158+J166+J173+J177+J183+J187+J190+J193+J196+J201+J203+J205</f>
        <v>0</v>
      </c>
      <c r="K207" s="27"/>
      <c r="L207" s="27"/>
      <c r="Z207" s="52">
        <f>SUM(Z13:Z206)</f>
        <v>0</v>
      </c>
      <c r="AA207" s="52">
        <f>SUM(AA13:AA206)</f>
        <v>0</v>
      </c>
      <c r="AB207" s="52">
        <f>SUM(AB13:AB206)</f>
        <v>0</v>
      </c>
    </row>
  </sheetData>
  <sheetProtection selectLockedCells="1" selectUnlockedCells="1"/>
  <mergeCells count="61">
    <mergeCell ref="A1:L1"/>
    <mergeCell ref="A2:C3"/>
    <mergeCell ref="D2:D3"/>
    <mergeCell ref="E2:F3"/>
    <mergeCell ref="G2:H3"/>
    <mergeCell ref="I2:I3"/>
    <mergeCell ref="J2:L3"/>
    <mergeCell ref="A4:C5"/>
    <mergeCell ref="D4:D5"/>
    <mergeCell ref="E4:F5"/>
    <mergeCell ref="G4:H5"/>
    <mergeCell ref="I4:I5"/>
    <mergeCell ref="J4:L5"/>
    <mergeCell ref="A6:C7"/>
    <mergeCell ref="D6:D7"/>
    <mergeCell ref="E6:F7"/>
    <mergeCell ref="G6:H7"/>
    <mergeCell ref="I6:I7"/>
    <mergeCell ref="J6:L7"/>
    <mergeCell ref="A8:C9"/>
    <mergeCell ref="D8:D9"/>
    <mergeCell ref="E8:F9"/>
    <mergeCell ref="G8:H9"/>
    <mergeCell ref="I8:I9"/>
    <mergeCell ref="J8:L9"/>
    <mergeCell ref="H10:J10"/>
    <mergeCell ref="K10:L10"/>
    <mergeCell ref="D12:G12"/>
    <mergeCell ref="D15:G15"/>
    <mergeCell ref="D19:G19"/>
    <mergeCell ref="D21:G21"/>
    <mergeCell ref="D27:G27"/>
    <mergeCell ref="D29:G29"/>
    <mergeCell ref="D34:G34"/>
    <mergeCell ref="D40:G40"/>
    <mergeCell ref="D44:G44"/>
    <mergeCell ref="D52:G52"/>
    <mergeCell ref="D64:G64"/>
    <mergeCell ref="D80:G80"/>
    <mergeCell ref="D88:G88"/>
    <mergeCell ref="D98:G98"/>
    <mergeCell ref="D103:G103"/>
    <mergeCell ref="D114:G114"/>
    <mergeCell ref="D123:G123"/>
    <mergeCell ref="D131:G131"/>
    <mergeCell ref="D133:G133"/>
    <mergeCell ref="D138:G138"/>
    <mergeCell ref="D141:G141"/>
    <mergeCell ref="D158:G158"/>
    <mergeCell ref="D166:G166"/>
    <mergeCell ref="D173:G173"/>
    <mergeCell ref="D177:G177"/>
    <mergeCell ref="D183:G183"/>
    <mergeCell ref="D187:G187"/>
    <mergeCell ref="D190:G190"/>
    <mergeCell ref="D193:G193"/>
    <mergeCell ref="D196:G196"/>
    <mergeCell ref="D201:G201"/>
    <mergeCell ref="D203:G203"/>
    <mergeCell ref="D205:G205"/>
    <mergeCell ref="H207:I207"/>
  </mergeCells>
  <printOptions/>
  <pageMargins left="0.7479166666666667" right="0.7479166666666667" top="0.9840277777777777" bottom="0.6375" header="0.5118055555555555" footer="0.4722222222222222"/>
  <pageSetup fitToHeight="3" fitToWidth="1" horizontalDpi="300" verticalDpi="300" orientation="portrait" paperSize="9"/>
  <headerFooter alignWithMargins="0">
    <oddFooter>&amp;L&amp;"Times New Roman,obyčejné"&amp;12&amp;A&amp;C&amp;"Times New Roman,obyčejné"&amp;12II. etapa&amp;R&amp;"Times New Roman,obyčejné"&amp;12&amp;P/&amp;N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1"/>
  <sheetViews>
    <sheetView workbookViewId="0" topLeftCell="A1">
      <selection activeCell="C8" sqref="C8"/>
    </sheetView>
  </sheetViews>
  <sheetFormatPr defaultColWidth="11.421875" defaultRowHeight="12.75"/>
  <cols>
    <col min="1" max="2" width="9.140625" style="1" customWidth="1"/>
    <col min="3" max="3" width="13.28125" style="1" customWidth="1"/>
    <col min="4" max="4" width="44.00390625" style="1" customWidth="1"/>
    <col min="5" max="5" width="9.8515625" style="1" customWidth="1"/>
    <col min="6" max="6" width="24.140625" style="1" customWidth="1"/>
    <col min="7" max="7" width="20.421875" style="1" customWidth="1"/>
    <col min="8" max="8" width="44.00390625" style="1" customWidth="1"/>
  </cols>
  <sheetData>
    <row r="1" spans="1:7" ht="21.75" customHeight="1">
      <c r="A1" s="38" t="s">
        <v>642</v>
      </c>
      <c r="B1" s="38"/>
      <c r="C1" s="38"/>
      <c r="D1" s="38"/>
      <c r="E1" s="38"/>
      <c r="F1" s="38"/>
      <c r="G1" s="38"/>
    </row>
    <row r="2" spans="1:8" ht="12.75">
      <c r="A2" s="3" t="s">
        <v>61</v>
      </c>
      <c r="B2" s="3"/>
      <c r="C2" s="4" t="s">
        <v>2</v>
      </c>
      <c r="D2" s="4"/>
      <c r="E2" s="5" t="s">
        <v>3</v>
      </c>
      <c r="F2" s="6" t="s">
        <v>4</v>
      </c>
      <c r="G2" s="6"/>
      <c r="H2" s="7"/>
    </row>
    <row r="3" spans="1:8" ht="12.75">
      <c r="A3" s="3"/>
      <c r="B3" s="3"/>
      <c r="C3" s="4"/>
      <c r="D3" s="4"/>
      <c r="E3" s="5"/>
      <c r="F3" s="5"/>
      <c r="G3" s="6"/>
      <c r="H3" s="7"/>
    </row>
    <row r="4" spans="1:8" ht="12.75">
      <c r="A4" s="8" t="s">
        <v>6</v>
      </c>
      <c r="B4" s="8"/>
      <c r="C4" s="10" t="s">
        <v>643</v>
      </c>
      <c r="D4" s="10"/>
      <c r="E4" s="10" t="s">
        <v>8</v>
      </c>
      <c r="F4" s="11" t="s">
        <v>9</v>
      </c>
      <c r="G4" s="11"/>
      <c r="H4" s="7"/>
    </row>
    <row r="5" spans="1:8" ht="12.75">
      <c r="A5" s="8"/>
      <c r="B5" s="8"/>
      <c r="C5" s="10"/>
      <c r="D5" s="10"/>
      <c r="E5" s="10"/>
      <c r="F5" s="10"/>
      <c r="G5" s="11"/>
      <c r="H5" s="7"/>
    </row>
    <row r="6" spans="1:8" ht="12.75">
      <c r="A6" s="8" t="s">
        <v>10</v>
      </c>
      <c r="B6" s="8"/>
      <c r="C6" s="10" t="s">
        <v>11</v>
      </c>
      <c r="D6" s="10"/>
      <c r="E6" s="10" t="s">
        <v>12</v>
      </c>
      <c r="F6" s="11"/>
      <c r="G6" s="11"/>
      <c r="H6" s="7"/>
    </row>
    <row r="7" spans="1:8" ht="12.75">
      <c r="A7" s="8"/>
      <c r="B7" s="8"/>
      <c r="C7" s="10"/>
      <c r="D7" s="10"/>
      <c r="E7" s="10"/>
      <c r="F7" s="10"/>
      <c r="G7" s="11"/>
      <c r="H7" s="7"/>
    </row>
    <row r="8" spans="1:8" ht="12.75">
      <c r="A8" s="53" t="s">
        <v>18</v>
      </c>
      <c r="B8" s="53"/>
      <c r="C8" s="54" t="s">
        <v>19</v>
      </c>
      <c r="D8" s="54"/>
      <c r="E8" s="54" t="s">
        <v>63</v>
      </c>
      <c r="F8" s="79">
        <v>40468</v>
      </c>
      <c r="G8" s="79"/>
      <c r="H8" s="7"/>
    </row>
    <row r="9" spans="1:8" ht="12.75">
      <c r="A9" s="53"/>
      <c r="B9" s="53"/>
      <c r="C9" s="54"/>
      <c r="D9" s="54"/>
      <c r="E9" s="54"/>
      <c r="F9" s="54"/>
      <c r="G9" s="79"/>
      <c r="H9" s="7"/>
    </row>
    <row r="10" spans="1:8" ht="12.75">
      <c r="A10" s="80" t="s">
        <v>143</v>
      </c>
      <c r="B10" s="81" t="s">
        <v>64</v>
      </c>
      <c r="C10" s="81" t="s">
        <v>65</v>
      </c>
      <c r="D10" s="81" t="s">
        <v>66</v>
      </c>
      <c r="E10" s="81" t="s">
        <v>144</v>
      </c>
      <c r="F10" s="81" t="s">
        <v>644</v>
      </c>
      <c r="G10" s="82" t="s">
        <v>145</v>
      </c>
      <c r="H10" s="34"/>
    </row>
    <row r="11" spans="1:7" ht="12.75">
      <c r="A11" s="83" t="s">
        <v>159</v>
      </c>
      <c r="B11" s="83"/>
      <c r="C11" s="83" t="s">
        <v>160</v>
      </c>
      <c r="D11" s="83" t="s">
        <v>161</v>
      </c>
      <c r="E11" s="83" t="s">
        <v>162</v>
      </c>
      <c r="F11" s="83"/>
      <c r="G11" s="84">
        <v>28</v>
      </c>
    </row>
    <row r="12" spans="1:7" ht="12.75">
      <c r="A12" s="10" t="s">
        <v>163</v>
      </c>
      <c r="B12" s="10"/>
      <c r="C12" s="10" t="s">
        <v>164</v>
      </c>
      <c r="D12" s="10" t="s">
        <v>165</v>
      </c>
      <c r="E12" s="10" t="s">
        <v>162</v>
      </c>
      <c r="F12" s="10"/>
      <c r="G12" s="51">
        <v>3</v>
      </c>
    </row>
    <row r="13" spans="1:7" ht="12.75">
      <c r="A13" s="10" t="s">
        <v>166</v>
      </c>
      <c r="B13" s="10"/>
      <c r="C13" s="10" t="s">
        <v>167</v>
      </c>
      <c r="D13" s="10" t="s">
        <v>168</v>
      </c>
      <c r="E13" s="10" t="s">
        <v>169</v>
      </c>
      <c r="F13" s="10" t="s">
        <v>645</v>
      </c>
      <c r="G13" s="51">
        <v>417.18</v>
      </c>
    </row>
    <row r="14" spans="1:7" ht="12.75">
      <c r="A14" s="10"/>
      <c r="B14" s="10"/>
      <c r="C14" s="10"/>
      <c r="D14" s="10"/>
      <c r="E14" s="10"/>
      <c r="F14" s="10" t="s">
        <v>646</v>
      </c>
      <c r="G14" s="51">
        <v>0</v>
      </c>
    </row>
    <row r="15" spans="1:7" ht="12.75">
      <c r="A15" s="10"/>
      <c r="B15" s="10"/>
      <c r="C15" s="10"/>
      <c r="D15" s="10"/>
      <c r="E15" s="10"/>
      <c r="F15" s="10" t="s">
        <v>647</v>
      </c>
      <c r="G15" s="51">
        <v>0</v>
      </c>
    </row>
    <row r="16" spans="1:7" ht="12.75">
      <c r="A16" s="10"/>
      <c r="B16" s="10"/>
      <c r="C16" s="10"/>
      <c r="D16" s="10"/>
      <c r="E16" s="10"/>
      <c r="F16" s="10" t="s">
        <v>648</v>
      </c>
      <c r="G16" s="51">
        <v>0</v>
      </c>
    </row>
    <row r="17" spans="1:7" ht="12.75">
      <c r="A17" s="10"/>
      <c r="B17" s="10"/>
      <c r="C17" s="10"/>
      <c r="D17" s="10"/>
      <c r="E17" s="10"/>
      <c r="F17" s="10" t="s">
        <v>649</v>
      </c>
      <c r="G17" s="51">
        <v>0</v>
      </c>
    </row>
    <row r="18" spans="1:7" ht="12.75">
      <c r="A18" s="10"/>
      <c r="B18" s="10"/>
      <c r="C18" s="10"/>
      <c r="D18" s="10"/>
      <c r="E18" s="10"/>
      <c r="F18" s="10" t="s">
        <v>650</v>
      </c>
      <c r="G18" s="51">
        <v>0</v>
      </c>
    </row>
    <row r="19" spans="1:7" ht="12.75">
      <c r="A19" s="10" t="s">
        <v>170</v>
      </c>
      <c r="B19" s="10"/>
      <c r="C19" s="10" t="s">
        <v>171</v>
      </c>
      <c r="D19" s="10" t="s">
        <v>172</v>
      </c>
      <c r="E19" s="10" t="s">
        <v>169</v>
      </c>
      <c r="F19" s="10" t="s">
        <v>651</v>
      </c>
      <c r="G19" s="51">
        <v>402.7</v>
      </c>
    </row>
    <row r="20" spans="1:7" ht="12.75">
      <c r="A20" s="10"/>
      <c r="B20" s="10"/>
      <c r="C20" s="10"/>
      <c r="D20" s="10"/>
      <c r="E20" s="10"/>
      <c r="F20" s="10" t="s">
        <v>652</v>
      </c>
      <c r="G20" s="51">
        <v>0</v>
      </c>
    </row>
    <row r="21" spans="1:7" ht="12.75">
      <c r="A21" s="10" t="s">
        <v>173</v>
      </c>
      <c r="B21" s="10"/>
      <c r="C21" s="10" t="s">
        <v>174</v>
      </c>
      <c r="D21" s="10" t="s">
        <v>172</v>
      </c>
      <c r="E21" s="10" t="s">
        <v>169</v>
      </c>
      <c r="F21" s="10" t="s">
        <v>653</v>
      </c>
      <c r="G21" s="51">
        <v>45.1</v>
      </c>
    </row>
    <row r="22" spans="1:7" ht="12.75">
      <c r="A22" s="10" t="s">
        <v>175</v>
      </c>
      <c r="B22" s="10"/>
      <c r="C22" s="10" t="s">
        <v>176</v>
      </c>
      <c r="D22" s="10" t="s">
        <v>177</v>
      </c>
      <c r="E22" s="10" t="s">
        <v>169</v>
      </c>
      <c r="F22" s="10" t="s">
        <v>654</v>
      </c>
      <c r="G22" s="51">
        <v>30</v>
      </c>
    </row>
    <row r="23" spans="1:7" ht="12.75">
      <c r="A23" s="10" t="s">
        <v>178</v>
      </c>
      <c r="B23" s="10"/>
      <c r="C23" s="10" t="s">
        <v>179</v>
      </c>
      <c r="D23" s="10" t="s">
        <v>180</v>
      </c>
      <c r="E23" s="10" t="s">
        <v>169</v>
      </c>
      <c r="F23" s="10" t="s">
        <v>655</v>
      </c>
      <c r="G23" s="51">
        <v>447.8</v>
      </c>
    </row>
    <row r="24" spans="1:7" ht="12.75">
      <c r="A24" s="10" t="s">
        <v>181</v>
      </c>
      <c r="B24" s="10"/>
      <c r="C24" s="10" t="s">
        <v>182</v>
      </c>
      <c r="D24" s="10" t="s">
        <v>183</v>
      </c>
      <c r="E24" s="10" t="s">
        <v>169</v>
      </c>
      <c r="F24" s="10" t="s">
        <v>656</v>
      </c>
      <c r="G24" s="51">
        <v>133.74</v>
      </c>
    </row>
    <row r="25" spans="1:7" ht="12.75">
      <c r="A25" s="10" t="s">
        <v>184</v>
      </c>
      <c r="B25" s="10"/>
      <c r="C25" s="10" t="s">
        <v>185</v>
      </c>
      <c r="D25" s="10" t="s">
        <v>186</v>
      </c>
      <c r="E25" s="10" t="s">
        <v>169</v>
      </c>
      <c r="F25" s="10" t="s">
        <v>657</v>
      </c>
      <c r="G25" s="51">
        <v>848.96</v>
      </c>
    </row>
    <row r="26" spans="1:7" ht="12.75">
      <c r="A26" s="10"/>
      <c r="B26" s="10"/>
      <c r="C26" s="10"/>
      <c r="D26" s="10"/>
      <c r="E26" s="10"/>
      <c r="F26" s="10" t="s">
        <v>658</v>
      </c>
      <c r="G26" s="51">
        <v>0</v>
      </c>
    </row>
    <row r="27" spans="1:7" ht="12.75">
      <c r="A27" s="10"/>
      <c r="B27" s="10"/>
      <c r="C27" s="10"/>
      <c r="D27" s="10"/>
      <c r="E27" s="10"/>
      <c r="F27" s="10" t="s">
        <v>659</v>
      </c>
      <c r="G27" s="51">
        <v>0</v>
      </c>
    </row>
    <row r="28" spans="1:7" ht="12.75">
      <c r="A28" s="10"/>
      <c r="B28" s="10"/>
      <c r="C28" s="10"/>
      <c r="D28" s="10"/>
      <c r="E28" s="10"/>
      <c r="F28" s="10" t="s">
        <v>660</v>
      </c>
      <c r="G28" s="51">
        <v>0</v>
      </c>
    </row>
    <row r="29" spans="1:7" ht="12.75">
      <c r="A29" s="10"/>
      <c r="B29" s="10"/>
      <c r="C29" s="10"/>
      <c r="D29" s="10"/>
      <c r="E29" s="10"/>
      <c r="F29" s="10" t="s">
        <v>661</v>
      </c>
      <c r="G29" s="51">
        <v>0</v>
      </c>
    </row>
    <row r="30" spans="1:7" ht="12.75">
      <c r="A30" s="10"/>
      <c r="B30" s="10"/>
      <c r="C30" s="10"/>
      <c r="D30" s="10"/>
      <c r="E30" s="10"/>
      <c r="F30" s="10" t="s">
        <v>662</v>
      </c>
      <c r="G30" s="51">
        <v>0</v>
      </c>
    </row>
    <row r="31" spans="1:7" ht="12.75">
      <c r="A31" s="10"/>
      <c r="B31" s="10"/>
      <c r="C31" s="10"/>
      <c r="D31" s="10"/>
      <c r="E31" s="10"/>
      <c r="F31" s="10" t="s">
        <v>663</v>
      </c>
      <c r="G31" s="51">
        <v>0</v>
      </c>
    </row>
    <row r="32" spans="1:7" ht="12.75">
      <c r="A32" s="10"/>
      <c r="B32" s="10"/>
      <c r="C32" s="10"/>
      <c r="D32" s="10"/>
      <c r="E32" s="10"/>
      <c r="F32" s="10" t="s">
        <v>664</v>
      </c>
      <c r="G32" s="51">
        <v>0</v>
      </c>
    </row>
    <row r="33" spans="1:7" ht="12.75">
      <c r="A33" s="10"/>
      <c r="B33" s="10"/>
      <c r="C33" s="10"/>
      <c r="D33" s="10"/>
      <c r="E33" s="10"/>
      <c r="F33" s="10" t="s">
        <v>665</v>
      </c>
      <c r="G33" s="51">
        <v>0</v>
      </c>
    </row>
    <row r="34" spans="1:7" ht="12.75">
      <c r="A34" s="10"/>
      <c r="B34" s="10"/>
      <c r="C34" s="10"/>
      <c r="D34" s="10"/>
      <c r="E34" s="10"/>
      <c r="F34" s="10" t="s">
        <v>666</v>
      </c>
      <c r="G34" s="51">
        <v>0</v>
      </c>
    </row>
    <row r="35" spans="1:7" ht="12.75">
      <c r="A35" s="10"/>
      <c r="B35" s="10"/>
      <c r="C35" s="10"/>
      <c r="D35" s="10"/>
      <c r="E35" s="10"/>
      <c r="F35" s="10" t="s">
        <v>667</v>
      </c>
      <c r="G35" s="51">
        <v>0</v>
      </c>
    </row>
    <row r="36" spans="1:7" ht="12.75">
      <c r="A36" s="10"/>
      <c r="B36" s="10"/>
      <c r="C36" s="10"/>
      <c r="D36" s="10"/>
      <c r="E36" s="10"/>
      <c r="F36" s="10" t="s">
        <v>668</v>
      </c>
      <c r="G36" s="51">
        <v>0</v>
      </c>
    </row>
    <row r="37" spans="1:7" ht="12.75">
      <c r="A37" s="10"/>
      <c r="B37" s="10"/>
      <c r="C37" s="10"/>
      <c r="D37" s="10"/>
      <c r="E37" s="10"/>
      <c r="F37" s="10" t="s">
        <v>669</v>
      </c>
      <c r="G37" s="51">
        <v>0</v>
      </c>
    </row>
    <row r="38" spans="1:7" ht="12.75">
      <c r="A38" s="10"/>
      <c r="B38" s="10"/>
      <c r="C38" s="10"/>
      <c r="D38" s="10"/>
      <c r="E38" s="10"/>
      <c r="F38" s="10" t="s">
        <v>670</v>
      </c>
      <c r="G38" s="51">
        <v>0</v>
      </c>
    </row>
    <row r="39" spans="1:7" ht="12.75">
      <c r="A39" s="10"/>
      <c r="B39" s="10"/>
      <c r="C39" s="10"/>
      <c r="D39" s="10"/>
      <c r="E39" s="10"/>
      <c r="F39" s="10" t="s">
        <v>671</v>
      </c>
      <c r="G39" s="51">
        <v>0</v>
      </c>
    </row>
    <row r="40" spans="1:7" ht="12.75">
      <c r="A40" s="10"/>
      <c r="B40" s="10"/>
      <c r="C40" s="10"/>
      <c r="D40" s="10"/>
      <c r="E40" s="10"/>
      <c r="F40" s="10" t="s">
        <v>672</v>
      </c>
      <c r="G40" s="51">
        <v>0</v>
      </c>
    </row>
    <row r="41" spans="1:7" ht="12.75">
      <c r="A41" s="10"/>
      <c r="B41" s="10"/>
      <c r="C41" s="10"/>
      <c r="D41" s="10"/>
      <c r="E41" s="10"/>
      <c r="F41" s="10" t="s">
        <v>673</v>
      </c>
      <c r="G41" s="51">
        <v>0</v>
      </c>
    </row>
    <row r="42" spans="1:7" ht="12.75">
      <c r="A42" s="10"/>
      <c r="B42" s="10"/>
      <c r="C42" s="10"/>
      <c r="D42" s="10"/>
      <c r="E42" s="10"/>
      <c r="F42" s="10" t="s">
        <v>674</v>
      </c>
      <c r="G42" s="51">
        <v>0</v>
      </c>
    </row>
    <row r="43" spans="1:7" ht="12.75">
      <c r="A43" s="10"/>
      <c r="B43" s="10"/>
      <c r="C43" s="10"/>
      <c r="D43" s="10"/>
      <c r="E43" s="10"/>
      <c r="F43" s="10" t="s">
        <v>675</v>
      </c>
      <c r="G43" s="51">
        <v>0</v>
      </c>
    </row>
    <row r="44" spans="1:7" ht="12.75">
      <c r="A44" s="10"/>
      <c r="B44" s="10"/>
      <c r="C44" s="10"/>
      <c r="D44" s="10"/>
      <c r="E44" s="10"/>
      <c r="F44" s="10" t="s">
        <v>676</v>
      </c>
      <c r="G44" s="51">
        <v>0</v>
      </c>
    </row>
    <row r="45" spans="1:7" ht="12.75">
      <c r="A45" s="10"/>
      <c r="B45" s="10"/>
      <c r="C45" s="10"/>
      <c r="D45" s="10"/>
      <c r="E45" s="10"/>
      <c r="F45" s="10" t="s">
        <v>677</v>
      </c>
      <c r="G45" s="51">
        <v>0</v>
      </c>
    </row>
    <row r="46" spans="1:7" ht="12.75">
      <c r="A46" s="10"/>
      <c r="B46" s="10"/>
      <c r="C46" s="10"/>
      <c r="D46" s="10"/>
      <c r="E46" s="10"/>
      <c r="F46" s="10" t="s">
        <v>678</v>
      </c>
      <c r="G46" s="51">
        <v>0</v>
      </c>
    </row>
    <row r="47" spans="1:7" ht="12.75">
      <c r="A47" s="10"/>
      <c r="B47" s="10"/>
      <c r="C47" s="10"/>
      <c r="D47" s="10"/>
      <c r="E47" s="10"/>
      <c r="F47" s="10" t="s">
        <v>679</v>
      </c>
      <c r="G47" s="51">
        <v>0</v>
      </c>
    </row>
    <row r="48" spans="1:7" ht="12.75">
      <c r="A48" s="10"/>
      <c r="B48" s="10"/>
      <c r="C48" s="10"/>
      <c r="D48" s="10"/>
      <c r="E48" s="10"/>
      <c r="F48" s="10" t="s">
        <v>680</v>
      </c>
      <c r="G48" s="51">
        <v>0</v>
      </c>
    </row>
    <row r="49" spans="1:7" ht="12.75">
      <c r="A49" s="10" t="s">
        <v>187</v>
      </c>
      <c r="B49" s="10"/>
      <c r="C49" s="10" t="s">
        <v>188</v>
      </c>
      <c r="D49" s="10" t="s">
        <v>189</v>
      </c>
      <c r="E49" s="10" t="s">
        <v>190</v>
      </c>
      <c r="F49" s="10" t="s">
        <v>681</v>
      </c>
      <c r="G49" s="51">
        <v>60.8</v>
      </c>
    </row>
    <row r="50" spans="1:7" ht="12.75">
      <c r="A50" s="10" t="s">
        <v>191</v>
      </c>
      <c r="B50" s="10"/>
      <c r="C50" s="10" t="s">
        <v>192</v>
      </c>
      <c r="D50" s="10" t="s">
        <v>193</v>
      </c>
      <c r="E50" s="10" t="s">
        <v>169</v>
      </c>
      <c r="F50" s="10" t="s">
        <v>682</v>
      </c>
      <c r="G50" s="51">
        <v>834.36</v>
      </c>
    </row>
    <row r="51" spans="1:7" ht="12.75">
      <c r="A51" s="10" t="s">
        <v>194</v>
      </c>
      <c r="B51" s="10"/>
      <c r="C51" s="10" t="s">
        <v>195</v>
      </c>
      <c r="D51" s="10" t="s">
        <v>196</v>
      </c>
      <c r="E51" s="10" t="s">
        <v>169</v>
      </c>
      <c r="F51" s="10" t="s">
        <v>683</v>
      </c>
      <c r="G51" s="51">
        <v>343.08</v>
      </c>
    </row>
    <row r="52" spans="1:7" ht="12.75">
      <c r="A52" s="10"/>
      <c r="B52" s="10"/>
      <c r="C52" s="10"/>
      <c r="D52" s="10"/>
      <c r="E52" s="10"/>
      <c r="F52" s="10" t="s">
        <v>684</v>
      </c>
      <c r="G52" s="51">
        <v>0</v>
      </c>
    </row>
    <row r="53" spans="1:7" ht="12.75">
      <c r="A53" s="10"/>
      <c r="B53" s="10"/>
      <c r="C53" s="10"/>
      <c r="D53" s="10"/>
      <c r="E53" s="10"/>
      <c r="F53" s="10" t="s">
        <v>685</v>
      </c>
      <c r="G53" s="51">
        <v>0</v>
      </c>
    </row>
    <row r="54" spans="1:7" ht="12.75">
      <c r="A54" s="10"/>
      <c r="B54" s="10"/>
      <c r="C54" s="10"/>
      <c r="D54" s="10"/>
      <c r="E54" s="10"/>
      <c r="F54" s="10" t="s">
        <v>686</v>
      </c>
      <c r="G54" s="51">
        <v>0</v>
      </c>
    </row>
    <row r="55" spans="1:7" ht="12.75">
      <c r="A55" s="10"/>
      <c r="B55" s="10"/>
      <c r="C55" s="10"/>
      <c r="D55" s="10"/>
      <c r="E55" s="10"/>
      <c r="F55" s="10" t="s">
        <v>687</v>
      </c>
      <c r="G55" s="51">
        <v>0</v>
      </c>
    </row>
    <row r="56" spans="1:7" ht="12.75">
      <c r="A56" s="10" t="s">
        <v>197</v>
      </c>
      <c r="B56" s="10"/>
      <c r="C56" s="10" t="s">
        <v>198</v>
      </c>
      <c r="D56" s="10" t="s">
        <v>199</v>
      </c>
      <c r="E56" s="10" t="s">
        <v>169</v>
      </c>
      <c r="F56" s="10" t="s">
        <v>688</v>
      </c>
      <c r="G56" s="51">
        <v>20.2</v>
      </c>
    </row>
    <row r="57" spans="1:7" ht="12.75">
      <c r="A57" s="10" t="s">
        <v>201</v>
      </c>
      <c r="B57" s="10"/>
      <c r="C57" s="10" t="s">
        <v>202</v>
      </c>
      <c r="D57" s="10" t="s">
        <v>203</v>
      </c>
      <c r="E57" s="10" t="s">
        <v>169</v>
      </c>
      <c r="F57" s="10" t="s">
        <v>689</v>
      </c>
      <c r="G57" s="51">
        <v>52.29</v>
      </c>
    </row>
    <row r="58" spans="1:7" ht="12.75">
      <c r="A58" s="10" t="s">
        <v>204</v>
      </c>
      <c r="B58" s="10"/>
      <c r="C58" s="10" t="s">
        <v>205</v>
      </c>
      <c r="D58" s="10" t="s">
        <v>206</v>
      </c>
      <c r="E58" s="10" t="s">
        <v>169</v>
      </c>
      <c r="F58" s="10" t="s">
        <v>690</v>
      </c>
      <c r="G58" s="51">
        <v>70.25</v>
      </c>
    </row>
    <row r="59" spans="1:7" ht="12.75">
      <c r="A59" s="10" t="s">
        <v>207</v>
      </c>
      <c r="B59" s="10"/>
      <c r="C59" s="10" t="s">
        <v>205</v>
      </c>
      <c r="D59" s="10" t="s">
        <v>208</v>
      </c>
      <c r="E59" s="10" t="s">
        <v>169</v>
      </c>
      <c r="F59" s="10" t="s">
        <v>691</v>
      </c>
      <c r="G59" s="51">
        <v>20</v>
      </c>
    </row>
    <row r="60" spans="1:7" ht="12.75">
      <c r="A60" s="10" t="s">
        <v>209</v>
      </c>
      <c r="B60" s="10"/>
      <c r="C60" s="10" t="s">
        <v>210</v>
      </c>
      <c r="D60" s="10" t="s">
        <v>211</v>
      </c>
      <c r="E60" s="10" t="s">
        <v>162</v>
      </c>
      <c r="F60" s="10"/>
      <c r="G60" s="51">
        <v>2</v>
      </c>
    </row>
    <row r="61" spans="1:7" ht="12.75">
      <c r="A61" s="10" t="s">
        <v>212</v>
      </c>
      <c r="B61" s="10"/>
      <c r="C61" s="10" t="s">
        <v>213</v>
      </c>
      <c r="D61" s="10" t="s">
        <v>211</v>
      </c>
      <c r="E61" s="10" t="s">
        <v>162</v>
      </c>
      <c r="F61" s="10"/>
      <c r="G61" s="51">
        <v>7</v>
      </c>
    </row>
    <row r="62" spans="1:7" ht="12.75">
      <c r="A62" s="10" t="s">
        <v>214</v>
      </c>
      <c r="B62" s="10"/>
      <c r="C62" s="10" t="s">
        <v>215</v>
      </c>
      <c r="D62" s="10" t="s">
        <v>211</v>
      </c>
      <c r="E62" s="10" t="s">
        <v>162</v>
      </c>
      <c r="F62" s="10"/>
      <c r="G62" s="51">
        <v>9</v>
      </c>
    </row>
    <row r="63" spans="1:7" ht="12.75">
      <c r="A63" s="10" t="s">
        <v>216</v>
      </c>
      <c r="B63" s="10"/>
      <c r="C63" s="10" t="s">
        <v>217</v>
      </c>
      <c r="D63" s="10" t="s">
        <v>211</v>
      </c>
      <c r="E63" s="10" t="s">
        <v>162</v>
      </c>
      <c r="F63" s="10"/>
      <c r="G63" s="51">
        <v>7</v>
      </c>
    </row>
    <row r="64" spans="1:7" ht="12.75">
      <c r="A64" s="10" t="s">
        <v>218</v>
      </c>
      <c r="B64" s="10"/>
      <c r="C64" s="10" t="s">
        <v>219</v>
      </c>
      <c r="D64" s="10" t="s">
        <v>220</v>
      </c>
      <c r="E64" s="10" t="s">
        <v>190</v>
      </c>
      <c r="F64" s="10" t="s">
        <v>692</v>
      </c>
      <c r="G64" s="51">
        <v>33.84</v>
      </c>
    </row>
    <row r="65" spans="1:7" ht="12.75">
      <c r="A65" s="10" t="s">
        <v>222</v>
      </c>
      <c r="B65" s="10"/>
      <c r="C65" s="10" t="s">
        <v>223</v>
      </c>
      <c r="D65" s="10" t="s">
        <v>224</v>
      </c>
      <c r="E65" s="10" t="s">
        <v>169</v>
      </c>
      <c r="F65" s="10" t="s">
        <v>693</v>
      </c>
      <c r="G65" s="51">
        <v>25.92</v>
      </c>
    </row>
    <row r="66" spans="1:7" ht="12.75">
      <c r="A66" s="10" t="s">
        <v>225</v>
      </c>
      <c r="B66" s="10"/>
      <c r="C66" s="10" t="s">
        <v>226</v>
      </c>
      <c r="D66" s="10" t="s">
        <v>227</v>
      </c>
      <c r="E66" s="10" t="s">
        <v>169</v>
      </c>
      <c r="F66" s="10" t="s">
        <v>691</v>
      </c>
      <c r="G66" s="51">
        <v>20</v>
      </c>
    </row>
    <row r="67" spans="1:7" ht="12.75">
      <c r="A67" s="10" t="s">
        <v>228</v>
      </c>
      <c r="B67" s="10"/>
      <c r="C67" s="10" t="s">
        <v>229</v>
      </c>
      <c r="D67" s="10" t="s">
        <v>230</v>
      </c>
      <c r="E67" s="10" t="s">
        <v>231</v>
      </c>
      <c r="F67" s="10" t="s">
        <v>694</v>
      </c>
      <c r="G67" s="51">
        <v>113.86</v>
      </c>
    </row>
    <row r="68" spans="1:7" ht="12.75">
      <c r="A68" s="10" t="s">
        <v>232</v>
      </c>
      <c r="B68" s="10"/>
      <c r="C68" s="10" t="s">
        <v>233</v>
      </c>
      <c r="D68" s="10" t="s">
        <v>234</v>
      </c>
      <c r="E68" s="10" t="s">
        <v>169</v>
      </c>
      <c r="F68" s="10" t="s">
        <v>695</v>
      </c>
      <c r="G68" s="51">
        <v>691.45</v>
      </c>
    </row>
    <row r="69" spans="1:7" ht="12.75">
      <c r="A69" s="10"/>
      <c r="B69" s="10"/>
      <c r="C69" s="10"/>
      <c r="D69" s="10"/>
      <c r="E69" s="10"/>
      <c r="F69" s="10" t="s">
        <v>696</v>
      </c>
      <c r="G69" s="51">
        <v>0</v>
      </c>
    </row>
    <row r="70" spans="1:7" ht="12.75">
      <c r="A70" s="10" t="s">
        <v>235</v>
      </c>
      <c r="B70" s="10"/>
      <c r="C70" s="10" t="s">
        <v>236</v>
      </c>
      <c r="D70" s="10" t="s">
        <v>237</v>
      </c>
      <c r="E70" s="10" t="s">
        <v>169</v>
      </c>
      <c r="F70" s="10" t="s">
        <v>697</v>
      </c>
      <c r="G70" s="51">
        <v>547.32</v>
      </c>
    </row>
    <row r="71" spans="1:7" ht="12.75">
      <c r="A71" s="10"/>
      <c r="B71" s="10"/>
      <c r="C71" s="10"/>
      <c r="D71" s="10"/>
      <c r="E71" s="10"/>
      <c r="F71" s="10" t="s">
        <v>698</v>
      </c>
      <c r="G71" s="51">
        <v>0</v>
      </c>
    </row>
    <row r="72" spans="1:7" ht="12.75">
      <c r="A72" s="10" t="s">
        <v>238</v>
      </c>
      <c r="B72" s="10"/>
      <c r="C72" s="10" t="s">
        <v>239</v>
      </c>
      <c r="D72" s="10" t="s">
        <v>237</v>
      </c>
      <c r="E72" s="10" t="s">
        <v>169</v>
      </c>
      <c r="F72" s="10" t="s">
        <v>699</v>
      </c>
      <c r="G72" s="51">
        <v>447.5</v>
      </c>
    </row>
    <row r="73" spans="1:7" ht="12.75">
      <c r="A73" s="10" t="s">
        <v>240</v>
      </c>
      <c r="B73" s="10"/>
      <c r="C73" s="10" t="s">
        <v>241</v>
      </c>
      <c r="D73" s="10" t="s">
        <v>242</v>
      </c>
      <c r="E73" s="10" t="s">
        <v>169</v>
      </c>
      <c r="F73" s="10" t="s">
        <v>700</v>
      </c>
      <c r="G73" s="51">
        <v>55.44</v>
      </c>
    </row>
    <row r="74" spans="1:7" ht="12.75">
      <c r="A74" s="10" t="s">
        <v>243</v>
      </c>
      <c r="B74" s="10"/>
      <c r="C74" s="10" t="s">
        <v>244</v>
      </c>
      <c r="D74" s="10" t="s">
        <v>245</v>
      </c>
      <c r="E74" s="10" t="s">
        <v>169</v>
      </c>
      <c r="F74" s="10" t="s">
        <v>701</v>
      </c>
      <c r="G74" s="51">
        <v>622.45</v>
      </c>
    </row>
    <row r="75" spans="1:7" ht="12.75">
      <c r="A75" s="10" t="s">
        <v>246</v>
      </c>
      <c r="B75" s="10"/>
      <c r="C75" s="10" t="s">
        <v>247</v>
      </c>
      <c r="D75" s="10" t="s">
        <v>248</v>
      </c>
      <c r="E75" s="10" t="s">
        <v>169</v>
      </c>
      <c r="F75" s="10" t="s">
        <v>702</v>
      </c>
      <c r="G75" s="51">
        <v>583.04</v>
      </c>
    </row>
    <row r="76" spans="1:7" ht="12.75">
      <c r="A76" s="10" t="s">
        <v>71</v>
      </c>
      <c r="B76" s="10"/>
      <c r="C76" s="10" t="s">
        <v>249</v>
      </c>
      <c r="D76" s="10" t="s">
        <v>250</v>
      </c>
      <c r="E76" s="10" t="s">
        <v>231</v>
      </c>
      <c r="F76" s="10" t="s">
        <v>703</v>
      </c>
      <c r="G76" s="51">
        <v>10073.59</v>
      </c>
    </row>
    <row r="77" spans="1:7" ht="12.75">
      <c r="A77" s="10" t="s">
        <v>251</v>
      </c>
      <c r="B77" s="10"/>
      <c r="C77" s="10" t="s">
        <v>252</v>
      </c>
      <c r="D77" s="10" t="s">
        <v>253</v>
      </c>
      <c r="E77" s="10" t="s">
        <v>162</v>
      </c>
      <c r="F77" s="10"/>
      <c r="G77" s="51">
        <v>6</v>
      </c>
    </row>
    <row r="78" spans="1:7" ht="12.75">
      <c r="A78" s="10" t="s">
        <v>254</v>
      </c>
      <c r="B78" s="10"/>
      <c r="C78" s="10" t="s">
        <v>255</v>
      </c>
      <c r="D78" s="10" t="s">
        <v>256</v>
      </c>
      <c r="E78" s="10" t="s">
        <v>190</v>
      </c>
      <c r="F78" s="10"/>
      <c r="G78" s="51">
        <v>20</v>
      </c>
    </row>
    <row r="79" spans="1:7" ht="12.75">
      <c r="A79" s="10" t="s">
        <v>74</v>
      </c>
      <c r="B79" s="10"/>
      <c r="C79" s="10" t="s">
        <v>257</v>
      </c>
      <c r="D79" s="10" t="s">
        <v>258</v>
      </c>
      <c r="E79" s="10" t="s">
        <v>190</v>
      </c>
      <c r="F79" s="10"/>
      <c r="G79" s="51">
        <v>18</v>
      </c>
    </row>
    <row r="80" spans="1:7" ht="12.75">
      <c r="A80" s="10" t="s">
        <v>259</v>
      </c>
      <c r="B80" s="10"/>
      <c r="C80" s="10" t="s">
        <v>260</v>
      </c>
      <c r="D80" s="10" t="s">
        <v>261</v>
      </c>
      <c r="E80" s="10" t="s">
        <v>190</v>
      </c>
      <c r="F80" s="10"/>
      <c r="G80" s="51">
        <v>42</v>
      </c>
    </row>
    <row r="81" spans="1:7" ht="12.75">
      <c r="A81" s="10" t="s">
        <v>262</v>
      </c>
      <c r="B81" s="10"/>
      <c r="C81" s="10" t="s">
        <v>263</v>
      </c>
      <c r="D81" s="10" t="s">
        <v>264</v>
      </c>
      <c r="E81" s="10" t="s">
        <v>190</v>
      </c>
      <c r="F81" s="10" t="s">
        <v>704</v>
      </c>
      <c r="G81" s="51">
        <v>18</v>
      </c>
    </row>
    <row r="82" spans="1:7" ht="12.75">
      <c r="A82" s="10" t="s">
        <v>265</v>
      </c>
      <c r="B82" s="10"/>
      <c r="C82" s="10" t="s">
        <v>266</v>
      </c>
      <c r="D82" s="10" t="s">
        <v>267</v>
      </c>
      <c r="E82" s="10" t="s">
        <v>162</v>
      </c>
      <c r="F82" s="10"/>
      <c r="G82" s="51">
        <v>18</v>
      </c>
    </row>
    <row r="83" spans="1:7" ht="12.75">
      <c r="A83" s="10" t="s">
        <v>268</v>
      </c>
      <c r="B83" s="10"/>
      <c r="C83" s="10" t="s">
        <v>269</v>
      </c>
      <c r="D83" s="10" t="s">
        <v>270</v>
      </c>
      <c r="E83" s="10" t="s">
        <v>162</v>
      </c>
      <c r="F83" s="10"/>
      <c r="G83" s="51">
        <v>13</v>
      </c>
    </row>
    <row r="84" spans="1:7" ht="12.75">
      <c r="A84" s="10" t="s">
        <v>271</v>
      </c>
      <c r="B84" s="10"/>
      <c r="C84" s="10" t="s">
        <v>272</v>
      </c>
      <c r="D84" s="10" t="s">
        <v>273</v>
      </c>
      <c r="E84" s="10" t="s">
        <v>162</v>
      </c>
      <c r="F84" s="10"/>
      <c r="G84" s="51">
        <v>7</v>
      </c>
    </row>
    <row r="85" spans="1:7" ht="12.75">
      <c r="A85" s="10" t="s">
        <v>274</v>
      </c>
      <c r="B85" s="10"/>
      <c r="C85" s="10" t="s">
        <v>275</v>
      </c>
      <c r="D85" s="10" t="s">
        <v>276</v>
      </c>
      <c r="E85" s="10" t="s">
        <v>162</v>
      </c>
      <c r="F85" s="10"/>
      <c r="G85" s="51">
        <v>3</v>
      </c>
    </row>
    <row r="86" spans="1:7" ht="12.75">
      <c r="A86" s="10" t="s">
        <v>277</v>
      </c>
      <c r="B86" s="10"/>
      <c r="C86" s="10" t="s">
        <v>278</v>
      </c>
      <c r="D86" s="10" t="s">
        <v>279</v>
      </c>
      <c r="E86" s="10" t="s">
        <v>190</v>
      </c>
      <c r="F86" s="10"/>
      <c r="G86" s="51">
        <v>98</v>
      </c>
    </row>
    <row r="87" spans="1:7" ht="12.75">
      <c r="A87" s="10" t="s">
        <v>280</v>
      </c>
      <c r="B87" s="10"/>
      <c r="C87" s="10" t="s">
        <v>281</v>
      </c>
      <c r="D87" s="10" t="s">
        <v>282</v>
      </c>
      <c r="E87" s="10" t="s">
        <v>231</v>
      </c>
      <c r="F87" s="10" t="s">
        <v>705</v>
      </c>
      <c r="G87" s="51">
        <v>608.03</v>
      </c>
    </row>
    <row r="88" spans="1:7" ht="12.75">
      <c r="A88" s="10" t="s">
        <v>283</v>
      </c>
      <c r="B88" s="10"/>
      <c r="C88" s="10" t="s">
        <v>284</v>
      </c>
      <c r="D88" s="10" t="s">
        <v>285</v>
      </c>
      <c r="E88" s="10" t="s">
        <v>190</v>
      </c>
      <c r="F88" s="10" t="s">
        <v>706</v>
      </c>
      <c r="G88" s="51">
        <v>22</v>
      </c>
    </row>
    <row r="89" spans="1:7" ht="12.75">
      <c r="A89" s="10" t="s">
        <v>286</v>
      </c>
      <c r="B89" s="10"/>
      <c r="C89" s="10" t="s">
        <v>287</v>
      </c>
      <c r="D89" s="10" t="s">
        <v>288</v>
      </c>
      <c r="E89" s="10" t="s">
        <v>289</v>
      </c>
      <c r="F89" s="10" t="s">
        <v>707</v>
      </c>
      <c r="G89" s="51">
        <v>1</v>
      </c>
    </row>
    <row r="90" spans="1:7" ht="12.75">
      <c r="A90" s="10" t="s">
        <v>290</v>
      </c>
      <c r="B90" s="10"/>
      <c r="C90" s="10" t="s">
        <v>291</v>
      </c>
      <c r="D90" s="10" t="s">
        <v>292</v>
      </c>
      <c r="E90" s="10" t="s">
        <v>162</v>
      </c>
      <c r="F90" s="10"/>
      <c r="G90" s="51">
        <v>1</v>
      </c>
    </row>
    <row r="91" spans="1:7" ht="12.75">
      <c r="A91" s="10" t="s">
        <v>293</v>
      </c>
      <c r="B91" s="10"/>
      <c r="C91" s="10" t="s">
        <v>294</v>
      </c>
      <c r="D91" s="10" t="s">
        <v>295</v>
      </c>
      <c r="E91" s="10" t="s">
        <v>190</v>
      </c>
      <c r="F91" s="10"/>
      <c r="G91" s="51">
        <v>20</v>
      </c>
    </row>
    <row r="92" spans="1:7" ht="12.75">
      <c r="A92" s="10" t="s">
        <v>296</v>
      </c>
      <c r="B92" s="10"/>
      <c r="C92" s="10" t="s">
        <v>297</v>
      </c>
      <c r="D92" s="10" t="s">
        <v>298</v>
      </c>
      <c r="E92" s="10" t="s">
        <v>190</v>
      </c>
      <c r="F92" s="10"/>
      <c r="G92" s="51">
        <v>186</v>
      </c>
    </row>
    <row r="93" spans="1:7" ht="12.75">
      <c r="A93" s="10" t="s">
        <v>299</v>
      </c>
      <c r="B93" s="10"/>
      <c r="C93" s="10" t="s">
        <v>300</v>
      </c>
      <c r="D93" s="10" t="s">
        <v>301</v>
      </c>
      <c r="E93" s="10" t="s">
        <v>190</v>
      </c>
      <c r="F93" s="10"/>
      <c r="G93" s="51">
        <v>186</v>
      </c>
    </row>
    <row r="94" spans="1:7" ht="12.75">
      <c r="A94" s="10" t="s">
        <v>302</v>
      </c>
      <c r="B94" s="10"/>
      <c r="C94" s="10" t="s">
        <v>303</v>
      </c>
      <c r="D94" s="10" t="s">
        <v>304</v>
      </c>
      <c r="E94" s="10" t="s">
        <v>162</v>
      </c>
      <c r="F94" s="10"/>
      <c r="G94" s="51">
        <v>50</v>
      </c>
    </row>
    <row r="95" spans="1:7" ht="12.75">
      <c r="A95" s="10" t="s">
        <v>305</v>
      </c>
      <c r="B95" s="10"/>
      <c r="C95" s="10" t="s">
        <v>306</v>
      </c>
      <c r="D95" s="10" t="s">
        <v>307</v>
      </c>
      <c r="E95" s="10" t="s">
        <v>162</v>
      </c>
      <c r="F95" s="10" t="s">
        <v>707</v>
      </c>
      <c r="G95" s="51">
        <v>1</v>
      </c>
    </row>
    <row r="96" spans="1:7" ht="12.75">
      <c r="A96" s="10" t="s">
        <v>308</v>
      </c>
      <c r="B96" s="10"/>
      <c r="C96" s="10" t="s">
        <v>309</v>
      </c>
      <c r="D96" s="10" t="s">
        <v>310</v>
      </c>
      <c r="E96" s="10" t="s">
        <v>162</v>
      </c>
      <c r="F96" s="10"/>
      <c r="G96" s="51">
        <v>11</v>
      </c>
    </row>
    <row r="97" spans="1:7" ht="12.75">
      <c r="A97" s="10" t="s">
        <v>311</v>
      </c>
      <c r="B97" s="10"/>
      <c r="C97" s="10" t="s">
        <v>312</v>
      </c>
      <c r="D97" s="10" t="s">
        <v>313</v>
      </c>
      <c r="E97" s="10" t="s">
        <v>162</v>
      </c>
      <c r="F97" s="10" t="s">
        <v>707</v>
      </c>
      <c r="G97" s="51">
        <v>1</v>
      </c>
    </row>
    <row r="98" spans="1:7" ht="12.75">
      <c r="A98" s="10" t="s">
        <v>314</v>
      </c>
      <c r="B98" s="10"/>
      <c r="C98" s="10" t="s">
        <v>315</v>
      </c>
      <c r="D98" s="10" t="s">
        <v>316</v>
      </c>
      <c r="E98" s="10" t="s">
        <v>317</v>
      </c>
      <c r="F98" s="10"/>
      <c r="G98" s="51">
        <v>19</v>
      </c>
    </row>
    <row r="99" spans="1:7" ht="12.75">
      <c r="A99" s="10" t="s">
        <v>318</v>
      </c>
      <c r="B99" s="10"/>
      <c r="C99" s="10" t="s">
        <v>319</v>
      </c>
      <c r="D99" s="10" t="s">
        <v>320</v>
      </c>
      <c r="E99" s="10" t="s">
        <v>162</v>
      </c>
      <c r="F99" s="10"/>
      <c r="G99" s="51">
        <v>1</v>
      </c>
    </row>
    <row r="100" spans="1:7" ht="12.75">
      <c r="A100" s="10" t="s">
        <v>321</v>
      </c>
      <c r="B100" s="10"/>
      <c r="C100" s="10" t="s">
        <v>322</v>
      </c>
      <c r="D100" s="10" t="s">
        <v>323</v>
      </c>
      <c r="E100" s="10" t="s">
        <v>190</v>
      </c>
      <c r="F100" s="10" t="s">
        <v>708</v>
      </c>
      <c r="G100" s="51">
        <v>208</v>
      </c>
    </row>
    <row r="101" spans="1:7" ht="12.75">
      <c r="A101" s="10"/>
      <c r="B101" s="10"/>
      <c r="C101" s="10"/>
      <c r="D101" s="10"/>
      <c r="E101" s="10"/>
      <c r="F101" s="10" t="s">
        <v>709</v>
      </c>
      <c r="G101" s="51">
        <v>0</v>
      </c>
    </row>
    <row r="102" spans="1:7" ht="12.75">
      <c r="A102" s="10" t="s">
        <v>324</v>
      </c>
      <c r="B102" s="10"/>
      <c r="C102" s="10" t="s">
        <v>325</v>
      </c>
      <c r="D102" s="10" t="s">
        <v>326</v>
      </c>
      <c r="E102" s="10" t="s">
        <v>190</v>
      </c>
      <c r="F102" s="10" t="s">
        <v>708</v>
      </c>
      <c r="G102" s="51">
        <v>208</v>
      </c>
    </row>
    <row r="103" spans="1:7" ht="12.75">
      <c r="A103" s="10"/>
      <c r="B103" s="10"/>
      <c r="C103" s="10"/>
      <c r="D103" s="10"/>
      <c r="E103" s="10"/>
      <c r="F103" s="10" t="s">
        <v>709</v>
      </c>
      <c r="G103" s="51">
        <v>0</v>
      </c>
    </row>
    <row r="104" spans="1:7" ht="12.75">
      <c r="A104" s="10" t="s">
        <v>327</v>
      </c>
      <c r="B104" s="10"/>
      <c r="C104" s="10" t="s">
        <v>328</v>
      </c>
      <c r="D104" s="10" t="s">
        <v>329</v>
      </c>
      <c r="E104" s="10" t="s">
        <v>231</v>
      </c>
      <c r="F104" s="10" t="s">
        <v>710</v>
      </c>
      <c r="G104" s="51">
        <v>1225.35</v>
      </c>
    </row>
    <row r="105" spans="1:7" ht="12.75">
      <c r="A105" s="10" t="s">
        <v>330</v>
      </c>
      <c r="B105" s="10"/>
      <c r="C105" s="10" t="s">
        <v>331</v>
      </c>
      <c r="D105" s="10" t="s">
        <v>332</v>
      </c>
      <c r="E105" s="10" t="s">
        <v>190</v>
      </c>
      <c r="F105" s="10"/>
      <c r="G105" s="51">
        <v>2</v>
      </c>
    </row>
    <row r="106" spans="1:7" ht="12.75">
      <c r="A106" s="10" t="s">
        <v>76</v>
      </c>
      <c r="B106" s="10"/>
      <c r="C106" s="10" t="s">
        <v>333</v>
      </c>
      <c r="D106" s="10" t="s">
        <v>334</v>
      </c>
      <c r="E106" s="10" t="s">
        <v>190</v>
      </c>
      <c r="F106" s="10"/>
      <c r="G106" s="51">
        <v>31</v>
      </c>
    </row>
    <row r="107" spans="1:7" ht="12.75">
      <c r="A107" s="10" t="s">
        <v>335</v>
      </c>
      <c r="B107" s="10"/>
      <c r="C107" s="10" t="s">
        <v>336</v>
      </c>
      <c r="D107" s="10" t="s">
        <v>337</v>
      </c>
      <c r="E107" s="10" t="s">
        <v>162</v>
      </c>
      <c r="F107" s="10"/>
      <c r="G107" s="51">
        <v>3</v>
      </c>
    </row>
    <row r="108" spans="1:7" ht="12.75">
      <c r="A108" s="10" t="s">
        <v>78</v>
      </c>
      <c r="B108" s="10"/>
      <c r="C108" s="10" t="s">
        <v>338</v>
      </c>
      <c r="D108" s="10" t="s">
        <v>339</v>
      </c>
      <c r="E108" s="10" t="s">
        <v>162</v>
      </c>
      <c r="F108" s="10"/>
      <c r="G108" s="51">
        <v>1</v>
      </c>
    </row>
    <row r="109" spans="1:7" ht="12.75">
      <c r="A109" s="10" t="s">
        <v>80</v>
      </c>
      <c r="B109" s="10"/>
      <c r="C109" s="10" t="s">
        <v>340</v>
      </c>
      <c r="D109" s="10" t="s">
        <v>341</v>
      </c>
      <c r="E109" s="10" t="s">
        <v>162</v>
      </c>
      <c r="F109" s="10"/>
      <c r="G109" s="51">
        <v>2</v>
      </c>
    </row>
    <row r="110" spans="1:7" ht="12.75">
      <c r="A110" s="10" t="s">
        <v>82</v>
      </c>
      <c r="B110" s="10"/>
      <c r="C110" s="10" t="s">
        <v>342</v>
      </c>
      <c r="D110" s="10" t="s">
        <v>343</v>
      </c>
      <c r="E110" s="10" t="s">
        <v>162</v>
      </c>
      <c r="F110" s="10"/>
      <c r="G110" s="51">
        <v>1</v>
      </c>
    </row>
    <row r="111" spans="1:7" ht="12.75">
      <c r="A111" s="10" t="s">
        <v>84</v>
      </c>
      <c r="B111" s="10"/>
      <c r="C111" s="10" t="s">
        <v>344</v>
      </c>
      <c r="D111" s="10" t="s">
        <v>345</v>
      </c>
      <c r="E111" s="10" t="s">
        <v>231</v>
      </c>
      <c r="F111" s="10" t="s">
        <v>711</v>
      </c>
      <c r="G111" s="51">
        <v>164.41</v>
      </c>
    </row>
    <row r="112" spans="1:7" ht="12.75">
      <c r="A112" s="10" t="s">
        <v>346</v>
      </c>
      <c r="B112" s="10"/>
      <c r="C112" s="10" t="s">
        <v>347</v>
      </c>
      <c r="D112" s="10" t="s">
        <v>348</v>
      </c>
      <c r="E112" s="10" t="s">
        <v>349</v>
      </c>
      <c r="F112" s="10"/>
      <c r="G112" s="51">
        <v>3</v>
      </c>
    </row>
    <row r="113" spans="1:7" ht="12.75">
      <c r="A113" s="10" t="s">
        <v>350</v>
      </c>
      <c r="B113" s="10"/>
      <c r="C113" s="10" t="s">
        <v>351</v>
      </c>
      <c r="D113" s="10" t="s">
        <v>352</v>
      </c>
      <c r="E113" s="10" t="s">
        <v>349</v>
      </c>
      <c r="F113" s="10"/>
      <c r="G113" s="51">
        <v>3</v>
      </c>
    </row>
    <row r="114" spans="1:7" ht="12.75">
      <c r="A114" s="10" t="s">
        <v>353</v>
      </c>
      <c r="B114" s="10"/>
      <c r="C114" s="10" t="s">
        <v>354</v>
      </c>
      <c r="D114" s="10" t="s">
        <v>355</v>
      </c>
      <c r="E114" s="10" t="s">
        <v>289</v>
      </c>
      <c r="F114" s="10"/>
      <c r="G114" s="51">
        <v>11</v>
      </c>
    </row>
    <row r="115" spans="1:7" ht="12.75">
      <c r="A115" s="10" t="s">
        <v>356</v>
      </c>
      <c r="B115" s="10"/>
      <c r="C115" s="10" t="s">
        <v>357</v>
      </c>
      <c r="D115" s="10" t="s">
        <v>358</v>
      </c>
      <c r="E115" s="10" t="s">
        <v>289</v>
      </c>
      <c r="F115" s="10"/>
      <c r="G115" s="51">
        <v>15</v>
      </c>
    </row>
    <row r="116" spans="1:7" ht="12.75">
      <c r="A116" s="10" t="s">
        <v>359</v>
      </c>
      <c r="B116" s="10"/>
      <c r="C116" s="10" t="s">
        <v>360</v>
      </c>
      <c r="D116" s="10" t="s">
        <v>361</v>
      </c>
      <c r="E116" s="10" t="s">
        <v>289</v>
      </c>
      <c r="F116" s="10"/>
      <c r="G116" s="51">
        <v>15</v>
      </c>
    </row>
    <row r="117" spans="1:7" ht="12.75">
      <c r="A117" s="10" t="s">
        <v>362</v>
      </c>
      <c r="B117" s="10"/>
      <c r="C117" s="10" t="s">
        <v>363</v>
      </c>
      <c r="D117" s="10" t="s">
        <v>364</v>
      </c>
      <c r="E117" s="10" t="s">
        <v>162</v>
      </c>
      <c r="F117" s="10"/>
      <c r="G117" s="51">
        <v>2</v>
      </c>
    </row>
    <row r="118" spans="1:7" ht="12.75">
      <c r="A118" s="10" t="s">
        <v>365</v>
      </c>
      <c r="B118" s="10"/>
      <c r="C118" s="10" t="s">
        <v>366</v>
      </c>
      <c r="D118" s="10" t="s">
        <v>367</v>
      </c>
      <c r="E118" s="10" t="s">
        <v>289</v>
      </c>
      <c r="F118" s="10"/>
      <c r="G118" s="51">
        <v>11</v>
      </c>
    </row>
    <row r="119" spans="1:7" ht="12.75">
      <c r="A119" s="10" t="s">
        <v>368</v>
      </c>
      <c r="B119" s="10"/>
      <c r="C119" s="10" t="s">
        <v>369</v>
      </c>
      <c r="D119" s="10" t="s">
        <v>370</v>
      </c>
      <c r="E119" s="10" t="s">
        <v>162</v>
      </c>
      <c r="F119" s="10"/>
      <c r="G119" s="51">
        <v>18</v>
      </c>
    </row>
    <row r="120" spans="1:7" ht="12.75">
      <c r="A120" s="10" t="s">
        <v>371</v>
      </c>
      <c r="B120" s="10"/>
      <c r="C120" s="10" t="s">
        <v>372</v>
      </c>
      <c r="D120" s="10" t="s">
        <v>373</v>
      </c>
      <c r="E120" s="10" t="s">
        <v>231</v>
      </c>
      <c r="F120" s="10" t="s">
        <v>712</v>
      </c>
      <c r="G120" s="51">
        <v>1808.33</v>
      </c>
    </row>
    <row r="121" spans="1:7" ht="12.75">
      <c r="A121" s="10" t="s">
        <v>106</v>
      </c>
      <c r="B121" s="10"/>
      <c r="C121" s="10" t="s">
        <v>374</v>
      </c>
      <c r="D121" s="10" t="s">
        <v>375</v>
      </c>
      <c r="E121" s="10"/>
      <c r="F121" s="10"/>
      <c r="G121" s="51">
        <v>2</v>
      </c>
    </row>
    <row r="122" spans="1:7" ht="12.75">
      <c r="A122" s="10" t="s">
        <v>376</v>
      </c>
      <c r="B122" s="10"/>
      <c r="C122" s="10" t="s">
        <v>377</v>
      </c>
      <c r="D122" s="10" t="s">
        <v>378</v>
      </c>
      <c r="E122" s="10" t="s">
        <v>349</v>
      </c>
      <c r="F122" s="10"/>
      <c r="G122" s="51">
        <v>2</v>
      </c>
    </row>
    <row r="123" spans="1:7" ht="12.75">
      <c r="A123" s="10" t="s">
        <v>379</v>
      </c>
      <c r="B123" s="10"/>
      <c r="C123" s="10" t="s">
        <v>380</v>
      </c>
      <c r="D123" s="10" t="s">
        <v>381</v>
      </c>
      <c r="E123" s="10" t="s">
        <v>349</v>
      </c>
      <c r="F123" s="10"/>
      <c r="G123" s="51">
        <v>2</v>
      </c>
    </row>
    <row r="124" spans="1:7" ht="12.75">
      <c r="A124" s="10" t="s">
        <v>382</v>
      </c>
      <c r="B124" s="10"/>
      <c r="C124" s="10" t="s">
        <v>383</v>
      </c>
      <c r="D124" s="10" t="s">
        <v>384</v>
      </c>
      <c r="E124" s="10" t="s">
        <v>231</v>
      </c>
      <c r="F124" s="10" t="s">
        <v>713</v>
      </c>
      <c r="G124" s="51">
        <v>1515.72</v>
      </c>
    </row>
    <row r="125" spans="1:7" ht="12.75">
      <c r="A125" s="10" t="s">
        <v>385</v>
      </c>
      <c r="B125" s="10"/>
      <c r="C125" s="10" t="s">
        <v>386</v>
      </c>
      <c r="D125" s="10" t="s">
        <v>387</v>
      </c>
      <c r="E125" s="10" t="s">
        <v>190</v>
      </c>
      <c r="F125" s="10"/>
      <c r="G125" s="51">
        <v>204</v>
      </c>
    </row>
    <row r="126" spans="1:7" ht="12.75">
      <c r="A126" s="10" t="s">
        <v>388</v>
      </c>
      <c r="B126" s="10"/>
      <c r="C126" s="10" t="s">
        <v>300</v>
      </c>
      <c r="D126" s="10" t="s">
        <v>301</v>
      </c>
      <c r="E126" s="10" t="s">
        <v>190</v>
      </c>
      <c r="F126" s="10"/>
      <c r="G126" s="51">
        <v>49</v>
      </c>
    </row>
    <row r="127" spans="1:7" ht="12.75">
      <c r="A127" s="10" t="s">
        <v>389</v>
      </c>
      <c r="B127" s="10"/>
      <c r="C127" s="10" t="s">
        <v>390</v>
      </c>
      <c r="D127" s="10" t="s">
        <v>391</v>
      </c>
      <c r="E127" s="10" t="s">
        <v>190</v>
      </c>
      <c r="F127" s="10"/>
      <c r="G127" s="51">
        <v>7</v>
      </c>
    </row>
    <row r="128" spans="1:7" ht="12.75">
      <c r="A128" s="10" t="s">
        <v>392</v>
      </c>
      <c r="B128" s="10"/>
      <c r="C128" s="10" t="s">
        <v>393</v>
      </c>
      <c r="D128" s="10" t="s">
        <v>394</v>
      </c>
      <c r="E128" s="10" t="s">
        <v>190</v>
      </c>
      <c r="F128" s="10"/>
      <c r="G128" s="51">
        <v>54</v>
      </c>
    </row>
    <row r="129" spans="1:7" ht="12.75">
      <c r="A129" s="10" t="s">
        <v>395</v>
      </c>
      <c r="B129" s="10"/>
      <c r="C129" s="10" t="s">
        <v>396</v>
      </c>
      <c r="D129" s="10" t="s">
        <v>397</v>
      </c>
      <c r="E129" s="10" t="s">
        <v>190</v>
      </c>
      <c r="F129" s="10"/>
      <c r="G129" s="51">
        <v>55</v>
      </c>
    </row>
    <row r="130" spans="1:7" ht="12.75">
      <c r="A130" s="10" t="s">
        <v>398</v>
      </c>
      <c r="B130" s="10"/>
      <c r="C130" s="10" t="s">
        <v>399</v>
      </c>
      <c r="D130" s="10" t="s">
        <v>400</v>
      </c>
      <c r="E130" s="10" t="s">
        <v>190</v>
      </c>
      <c r="F130" s="10"/>
      <c r="G130" s="51">
        <v>95</v>
      </c>
    </row>
    <row r="131" spans="1:7" ht="12.75">
      <c r="A131" s="10" t="s">
        <v>401</v>
      </c>
      <c r="B131" s="10"/>
      <c r="C131" s="10" t="s">
        <v>402</v>
      </c>
      <c r="D131" s="10" t="s">
        <v>403</v>
      </c>
      <c r="E131" s="10" t="s">
        <v>190</v>
      </c>
      <c r="F131" s="10"/>
      <c r="G131" s="51">
        <v>49</v>
      </c>
    </row>
    <row r="132" spans="1:7" ht="12.75">
      <c r="A132" s="10" t="s">
        <v>404</v>
      </c>
      <c r="B132" s="10"/>
      <c r="C132" s="10" t="s">
        <v>405</v>
      </c>
      <c r="D132" s="10" t="s">
        <v>406</v>
      </c>
      <c r="E132" s="10" t="s">
        <v>190</v>
      </c>
      <c r="F132" s="10"/>
      <c r="G132" s="51">
        <v>7</v>
      </c>
    </row>
    <row r="133" spans="1:7" ht="12.75">
      <c r="A133" s="10" t="s">
        <v>407</v>
      </c>
      <c r="B133" s="10"/>
      <c r="C133" s="10" t="s">
        <v>408</v>
      </c>
      <c r="D133" s="10" t="s">
        <v>409</v>
      </c>
      <c r="E133" s="10" t="s">
        <v>410</v>
      </c>
      <c r="F133" s="10"/>
      <c r="G133" s="51">
        <v>72</v>
      </c>
    </row>
    <row r="134" spans="1:7" ht="12.75">
      <c r="A134" s="10" t="s">
        <v>411</v>
      </c>
      <c r="B134" s="10"/>
      <c r="C134" s="10" t="s">
        <v>412</v>
      </c>
      <c r="D134" s="10" t="s">
        <v>413</v>
      </c>
      <c r="E134" s="10" t="s">
        <v>231</v>
      </c>
      <c r="F134" s="10" t="s">
        <v>714</v>
      </c>
      <c r="G134" s="51">
        <v>1083.15</v>
      </c>
    </row>
    <row r="135" spans="1:7" ht="12.75">
      <c r="A135" s="10" t="s">
        <v>414</v>
      </c>
      <c r="B135" s="10"/>
      <c r="C135" s="10" t="s">
        <v>415</v>
      </c>
      <c r="D135" s="10" t="s">
        <v>416</v>
      </c>
      <c r="E135" s="10" t="s">
        <v>162</v>
      </c>
      <c r="F135" s="10"/>
      <c r="G135" s="51">
        <v>4</v>
      </c>
    </row>
    <row r="136" spans="1:7" ht="12.75">
      <c r="A136" s="10" t="s">
        <v>417</v>
      </c>
      <c r="B136" s="10"/>
      <c r="C136" s="10" t="s">
        <v>418</v>
      </c>
      <c r="D136" s="10" t="s">
        <v>419</v>
      </c>
      <c r="E136" s="10" t="s">
        <v>162</v>
      </c>
      <c r="F136" s="10"/>
      <c r="G136" s="51">
        <v>1</v>
      </c>
    </row>
    <row r="137" spans="1:7" ht="12.75">
      <c r="A137" s="10" t="s">
        <v>420</v>
      </c>
      <c r="B137" s="10"/>
      <c r="C137" s="10" t="s">
        <v>421</v>
      </c>
      <c r="D137" s="10" t="s">
        <v>422</v>
      </c>
      <c r="E137" s="10" t="s">
        <v>162</v>
      </c>
      <c r="F137" s="10"/>
      <c r="G137" s="51">
        <v>29</v>
      </c>
    </row>
    <row r="138" spans="1:7" ht="12.75">
      <c r="A138" s="10" t="s">
        <v>423</v>
      </c>
      <c r="B138" s="10"/>
      <c r="C138" s="10" t="s">
        <v>424</v>
      </c>
      <c r="D138" s="10" t="s">
        <v>425</v>
      </c>
      <c r="E138" s="10" t="s">
        <v>162</v>
      </c>
      <c r="F138" s="10"/>
      <c r="G138" s="51">
        <v>29</v>
      </c>
    </row>
    <row r="139" spans="1:7" ht="12.75">
      <c r="A139" s="10" t="s">
        <v>426</v>
      </c>
      <c r="B139" s="10"/>
      <c r="C139" s="10" t="s">
        <v>427</v>
      </c>
      <c r="D139" s="10" t="s">
        <v>428</v>
      </c>
      <c r="E139" s="10" t="s">
        <v>162</v>
      </c>
      <c r="F139" s="10"/>
      <c r="G139" s="51">
        <v>18</v>
      </c>
    </row>
    <row r="140" spans="1:7" ht="12.75">
      <c r="A140" s="10" t="s">
        <v>429</v>
      </c>
      <c r="B140" s="10"/>
      <c r="C140" s="10" t="s">
        <v>430</v>
      </c>
      <c r="D140" s="10" t="s">
        <v>431</v>
      </c>
      <c r="E140" s="10" t="s">
        <v>162</v>
      </c>
      <c r="F140" s="10"/>
      <c r="G140" s="51">
        <v>40</v>
      </c>
    </row>
    <row r="141" spans="1:7" ht="12.75">
      <c r="A141" s="10" t="s">
        <v>130</v>
      </c>
      <c r="B141" s="10"/>
      <c r="C141" s="10" t="s">
        <v>432</v>
      </c>
      <c r="D141" s="10" t="s">
        <v>433</v>
      </c>
      <c r="E141" s="10" t="s">
        <v>162</v>
      </c>
      <c r="F141" s="10"/>
      <c r="G141" s="51">
        <v>4</v>
      </c>
    </row>
    <row r="142" spans="1:7" ht="12.75">
      <c r="A142" s="10" t="s">
        <v>434</v>
      </c>
      <c r="B142" s="10"/>
      <c r="C142" s="10" t="s">
        <v>435</v>
      </c>
      <c r="D142" s="10" t="s">
        <v>436</v>
      </c>
      <c r="E142" s="10" t="s">
        <v>231</v>
      </c>
      <c r="F142" s="10" t="s">
        <v>715</v>
      </c>
      <c r="G142" s="51">
        <v>342.85</v>
      </c>
    </row>
    <row r="143" spans="1:7" ht="12.75">
      <c r="A143" s="10" t="s">
        <v>437</v>
      </c>
      <c r="B143" s="10"/>
      <c r="C143" s="10" t="s">
        <v>438</v>
      </c>
      <c r="D143" s="10" t="s">
        <v>439</v>
      </c>
      <c r="E143" s="10" t="s">
        <v>162</v>
      </c>
      <c r="F143" s="10"/>
      <c r="G143" s="51">
        <v>3</v>
      </c>
    </row>
    <row r="144" spans="1:7" ht="12.75">
      <c r="A144" s="10" t="s">
        <v>440</v>
      </c>
      <c r="B144" s="10"/>
      <c r="C144" s="10" t="s">
        <v>441</v>
      </c>
      <c r="D144" s="10" t="s">
        <v>442</v>
      </c>
      <c r="E144" s="10" t="s">
        <v>162</v>
      </c>
      <c r="F144" s="10"/>
      <c r="G144" s="51">
        <v>1</v>
      </c>
    </row>
    <row r="145" spans="1:7" ht="12.75">
      <c r="A145" s="10" t="s">
        <v>443</v>
      </c>
      <c r="B145" s="10"/>
      <c r="C145" s="10" t="s">
        <v>444</v>
      </c>
      <c r="D145" s="10" t="s">
        <v>445</v>
      </c>
      <c r="E145" s="10" t="s">
        <v>162</v>
      </c>
      <c r="F145" s="10"/>
      <c r="G145" s="51">
        <v>3</v>
      </c>
    </row>
    <row r="146" spans="1:7" ht="12.75">
      <c r="A146" s="10" t="s">
        <v>446</v>
      </c>
      <c r="B146" s="10"/>
      <c r="C146" s="10" t="s">
        <v>447</v>
      </c>
      <c r="D146" s="10" t="s">
        <v>448</v>
      </c>
      <c r="E146" s="10" t="s">
        <v>162</v>
      </c>
      <c r="F146" s="10"/>
      <c r="G146" s="51">
        <v>1</v>
      </c>
    </row>
    <row r="147" spans="1:7" ht="12.75">
      <c r="A147" s="10" t="s">
        <v>449</v>
      </c>
      <c r="B147" s="10"/>
      <c r="C147" s="10" t="s">
        <v>450</v>
      </c>
      <c r="D147" s="10" t="s">
        <v>451</v>
      </c>
      <c r="E147" s="10" t="s">
        <v>162</v>
      </c>
      <c r="F147" s="10"/>
      <c r="G147" s="51">
        <v>8</v>
      </c>
    </row>
    <row r="148" spans="1:7" ht="12.75">
      <c r="A148" s="10" t="s">
        <v>452</v>
      </c>
      <c r="B148" s="10"/>
      <c r="C148" s="10" t="s">
        <v>453</v>
      </c>
      <c r="D148" s="10" t="s">
        <v>454</v>
      </c>
      <c r="E148" s="10" t="s">
        <v>162</v>
      </c>
      <c r="F148" s="10"/>
      <c r="G148" s="51">
        <v>13</v>
      </c>
    </row>
    <row r="149" spans="1:7" ht="12.75">
      <c r="A149" s="10" t="s">
        <v>455</v>
      </c>
      <c r="B149" s="10"/>
      <c r="C149" s="10" t="s">
        <v>456</v>
      </c>
      <c r="D149" s="10" t="s">
        <v>457</v>
      </c>
      <c r="E149" s="10" t="s">
        <v>231</v>
      </c>
      <c r="F149" s="10" t="s">
        <v>716</v>
      </c>
      <c r="G149" s="51">
        <v>714.93</v>
      </c>
    </row>
    <row r="150" spans="1:7" ht="12.75">
      <c r="A150" s="10" t="s">
        <v>458</v>
      </c>
      <c r="B150" s="10"/>
      <c r="C150" s="10" t="s">
        <v>459</v>
      </c>
      <c r="D150" s="10" t="s">
        <v>460</v>
      </c>
      <c r="E150" s="10" t="s">
        <v>349</v>
      </c>
      <c r="F150" s="10"/>
      <c r="G150" s="51">
        <v>1</v>
      </c>
    </row>
    <row r="151" spans="1:7" ht="12.75">
      <c r="A151" s="10" t="s">
        <v>461</v>
      </c>
      <c r="B151" s="10"/>
      <c r="C151" s="10" t="s">
        <v>462</v>
      </c>
      <c r="D151" s="10" t="s">
        <v>463</v>
      </c>
      <c r="E151" s="10" t="s">
        <v>169</v>
      </c>
      <c r="F151" s="10" t="s">
        <v>717</v>
      </c>
      <c r="G151" s="51">
        <v>483.62</v>
      </c>
    </row>
    <row r="152" spans="1:7" ht="12.75">
      <c r="A152" s="10" t="s">
        <v>464</v>
      </c>
      <c r="B152" s="10"/>
      <c r="C152" s="10" t="s">
        <v>465</v>
      </c>
      <c r="D152" s="10" t="s">
        <v>466</v>
      </c>
      <c r="E152" s="10" t="s">
        <v>169</v>
      </c>
      <c r="F152" s="10" t="s">
        <v>718</v>
      </c>
      <c r="G152" s="51">
        <v>447.8</v>
      </c>
    </row>
    <row r="153" spans="1:7" ht="12.75">
      <c r="A153" s="10"/>
      <c r="B153" s="10"/>
      <c r="C153" s="10"/>
      <c r="D153" s="10"/>
      <c r="E153" s="10"/>
      <c r="F153" s="10" t="s">
        <v>719</v>
      </c>
      <c r="G153" s="51">
        <v>0</v>
      </c>
    </row>
    <row r="154" spans="1:7" ht="12.75">
      <c r="A154" s="10" t="s">
        <v>467</v>
      </c>
      <c r="B154" s="10"/>
      <c r="C154" s="10" t="s">
        <v>468</v>
      </c>
      <c r="D154" s="10" t="s">
        <v>469</v>
      </c>
      <c r="E154" s="10" t="s">
        <v>169</v>
      </c>
      <c r="F154" s="10" t="s">
        <v>720</v>
      </c>
      <c r="G154" s="51">
        <v>447.5</v>
      </c>
    </row>
    <row r="155" spans="1:7" ht="12.75">
      <c r="A155" s="10" t="s">
        <v>470</v>
      </c>
      <c r="B155" s="10"/>
      <c r="C155" s="10" t="s">
        <v>471</v>
      </c>
      <c r="D155" s="10" t="s">
        <v>472</v>
      </c>
      <c r="E155" s="10" t="s">
        <v>231</v>
      </c>
      <c r="F155" s="10" t="s">
        <v>721</v>
      </c>
      <c r="G155" s="51">
        <v>2595.27</v>
      </c>
    </row>
    <row r="156" spans="1:7" ht="12.75">
      <c r="A156" s="10" t="s">
        <v>473</v>
      </c>
      <c r="B156" s="10"/>
      <c r="C156" s="10" t="s">
        <v>474</v>
      </c>
      <c r="D156" s="10" t="s">
        <v>475</v>
      </c>
      <c r="E156" s="10" t="s">
        <v>190</v>
      </c>
      <c r="F156" s="10" t="s">
        <v>722</v>
      </c>
      <c r="G156" s="51">
        <v>45.9</v>
      </c>
    </row>
    <row r="157" spans="1:7" ht="12.75">
      <c r="A157" s="10" t="s">
        <v>476</v>
      </c>
      <c r="B157" s="10"/>
      <c r="C157" s="10" t="s">
        <v>477</v>
      </c>
      <c r="D157" s="10" t="s">
        <v>478</v>
      </c>
      <c r="E157" s="10" t="s">
        <v>231</v>
      </c>
      <c r="F157" s="10" t="s">
        <v>723</v>
      </c>
      <c r="G157" s="51">
        <v>160.72</v>
      </c>
    </row>
    <row r="158" spans="1:7" ht="12.75">
      <c r="A158" s="10" t="s">
        <v>479</v>
      </c>
      <c r="B158" s="10"/>
      <c r="C158" s="10" t="s">
        <v>480</v>
      </c>
      <c r="D158" s="10" t="s">
        <v>481</v>
      </c>
      <c r="E158" s="10" t="s">
        <v>162</v>
      </c>
      <c r="F158" s="10"/>
      <c r="G158" s="51">
        <v>2</v>
      </c>
    </row>
    <row r="159" spans="1:7" ht="12.75">
      <c r="A159" s="10" t="s">
        <v>482</v>
      </c>
      <c r="B159" s="10"/>
      <c r="C159" s="10" t="s">
        <v>483</v>
      </c>
      <c r="D159" s="10" t="s">
        <v>484</v>
      </c>
      <c r="E159" s="10" t="s">
        <v>162</v>
      </c>
      <c r="F159" s="10"/>
      <c r="G159" s="51">
        <v>7</v>
      </c>
    </row>
    <row r="160" spans="1:7" ht="12.75">
      <c r="A160" s="10" t="s">
        <v>485</v>
      </c>
      <c r="B160" s="10"/>
      <c r="C160" s="10" t="s">
        <v>486</v>
      </c>
      <c r="D160" s="10" t="s">
        <v>487</v>
      </c>
      <c r="E160" s="10" t="s">
        <v>162</v>
      </c>
      <c r="F160" s="10"/>
      <c r="G160" s="51">
        <v>9</v>
      </c>
    </row>
    <row r="161" spans="1:7" ht="12.75">
      <c r="A161" s="10" t="s">
        <v>488</v>
      </c>
      <c r="B161" s="10"/>
      <c r="C161" s="10" t="s">
        <v>489</v>
      </c>
      <c r="D161" s="10" t="s">
        <v>490</v>
      </c>
      <c r="E161" s="10" t="s">
        <v>162</v>
      </c>
      <c r="F161" s="10"/>
      <c r="G161" s="51">
        <v>7</v>
      </c>
    </row>
    <row r="162" spans="1:7" ht="12.75">
      <c r="A162" s="10" t="s">
        <v>491</v>
      </c>
      <c r="B162" s="10"/>
      <c r="C162" s="10" t="s">
        <v>492</v>
      </c>
      <c r="D162" s="10" t="s">
        <v>493</v>
      </c>
      <c r="E162" s="10" t="s">
        <v>169</v>
      </c>
      <c r="F162" s="10" t="s">
        <v>724</v>
      </c>
      <c r="G162" s="51">
        <v>101.65</v>
      </c>
    </row>
    <row r="163" spans="1:7" ht="12.75">
      <c r="A163" s="10" t="s">
        <v>494</v>
      </c>
      <c r="B163" s="10"/>
      <c r="C163" s="10" t="s">
        <v>495</v>
      </c>
      <c r="D163" s="10" t="s">
        <v>496</v>
      </c>
      <c r="E163" s="10" t="s">
        <v>169</v>
      </c>
      <c r="F163" s="10" t="s">
        <v>725</v>
      </c>
      <c r="G163" s="51">
        <v>96.97</v>
      </c>
    </row>
    <row r="164" spans="1:7" ht="12.75">
      <c r="A164" s="10"/>
      <c r="B164" s="10"/>
      <c r="C164" s="10"/>
      <c r="D164" s="10"/>
      <c r="E164" s="10"/>
      <c r="F164" s="10" t="s">
        <v>726</v>
      </c>
      <c r="G164" s="51">
        <v>0</v>
      </c>
    </row>
    <row r="165" spans="1:7" ht="12.75">
      <c r="A165" s="10" t="s">
        <v>497</v>
      </c>
      <c r="B165" s="10"/>
      <c r="C165" s="10" t="s">
        <v>498</v>
      </c>
      <c r="D165" s="10" t="s">
        <v>499</v>
      </c>
      <c r="E165" s="10" t="s">
        <v>169</v>
      </c>
      <c r="F165" s="10" t="s">
        <v>727</v>
      </c>
      <c r="G165" s="51">
        <v>11.2</v>
      </c>
    </row>
    <row r="166" spans="1:7" ht="12.75">
      <c r="A166" s="10" t="s">
        <v>500</v>
      </c>
      <c r="B166" s="10"/>
      <c r="C166" s="10" t="s">
        <v>501</v>
      </c>
      <c r="D166" s="10" t="s">
        <v>502</v>
      </c>
      <c r="E166" s="10" t="s">
        <v>169</v>
      </c>
      <c r="F166" s="10" t="s">
        <v>728</v>
      </c>
      <c r="G166" s="51">
        <v>665.97</v>
      </c>
    </row>
    <row r="167" spans="1:7" ht="12.75">
      <c r="A167" s="10"/>
      <c r="B167" s="10"/>
      <c r="C167" s="10"/>
      <c r="D167" s="10"/>
      <c r="E167" s="10"/>
      <c r="F167" s="10" t="s">
        <v>729</v>
      </c>
      <c r="G167" s="51">
        <v>0</v>
      </c>
    </row>
    <row r="168" spans="1:7" ht="12.75">
      <c r="A168" s="10" t="s">
        <v>503</v>
      </c>
      <c r="B168" s="10"/>
      <c r="C168" s="10" t="s">
        <v>504</v>
      </c>
      <c r="D168" s="10" t="s">
        <v>505</v>
      </c>
      <c r="E168" s="10" t="s">
        <v>349</v>
      </c>
      <c r="F168" s="10"/>
      <c r="G168" s="51">
        <v>1</v>
      </c>
    </row>
    <row r="169" spans="1:7" ht="12.75">
      <c r="A169" s="10" t="s">
        <v>506</v>
      </c>
      <c r="B169" s="10"/>
      <c r="C169" s="10" t="s">
        <v>507</v>
      </c>
      <c r="D169" s="10" t="s">
        <v>508</v>
      </c>
      <c r="E169" s="10" t="s">
        <v>169</v>
      </c>
      <c r="F169" s="10"/>
      <c r="G169" s="51">
        <v>40</v>
      </c>
    </row>
    <row r="170" spans="1:7" ht="12.75">
      <c r="A170" s="10" t="s">
        <v>509</v>
      </c>
      <c r="B170" s="10"/>
      <c r="C170" s="10" t="s">
        <v>510</v>
      </c>
      <c r="D170" s="10" t="s">
        <v>511</v>
      </c>
      <c r="E170" s="10" t="s">
        <v>169</v>
      </c>
      <c r="F170" s="10" t="s">
        <v>730</v>
      </c>
      <c r="G170" s="51">
        <v>92.41</v>
      </c>
    </row>
    <row r="171" spans="1:7" ht="12.75">
      <c r="A171" s="10"/>
      <c r="B171" s="10"/>
      <c r="C171" s="10"/>
      <c r="D171" s="10"/>
      <c r="E171" s="10"/>
      <c r="F171" s="10" t="s">
        <v>731</v>
      </c>
      <c r="G171" s="51">
        <v>0</v>
      </c>
    </row>
    <row r="172" spans="1:7" ht="12.75">
      <c r="A172" s="10"/>
      <c r="B172" s="10"/>
      <c r="C172" s="10"/>
      <c r="D172" s="10"/>
      <c r="E172" s="10"/>
      <c r="F172" s="10" t="s">
        <v>732</v>
      </c>
      <c r="G172" s="51">
        <v>0</v>
      </c>
    </row>
    <row r="173" spans="1:7" ht="12.75">
      <c r="A173" s="10" t="s">
        <v>512</v>
      </c>
      <c r="B173" s="10"/>
      <c r="C173" s="10" t="s">
        <v>513</v>
      </c>
      <c r="D173" s="10" t="s">
        <v>514</v>
      </c>
      <c r="E173" s="10" t="s">
        <v>169</v>
      </c>
      <c r="F173" s="10" t="s">
        <v>733</v>
      </c>
      <c r="G173" s="51">
        <v>402.38</v>
      </c>
    </row>
    <row r="174" spans="1:7" ht="12.75">
      <c r="A174" s="10"/>
      <c r="B174" s="10"/>
      <c r="C174" s="10"/>
      <c r="D174" s="10"/>
      <c r="E174" s="10"/>
      <c r="F174" s="10" t="s">
        <v>734</v>
      </c>
      <c r="G174" s="51">
        <v>0</v>
      </c>
    </row>
    <row r="175" spans="1:7" ht="12.75">
      <c r="A175" s="10"/>
      <c r="B175" s="10"/>
      <c r="C175" s="10"/>
      <c r="D175" s="10"/>
      <c r="E175" s="10"/>
      <c r="F175" s="10" t="s">
        <v>735</v>
      </c>
      <c r="G175" s="51">
        <v>0</v>
      </c>
    </row>
    <row r="176" spans="1:7" ht="12.75">
      <c r="A176" s="10"/>
      <c r="B176" s="10"/>
      <c r="C176" s="10"/>
      <c r="D176" s="10"/>
      <c r="E176" s="10"/>
      <c r="F176" s="10" t="s">
        <v>736</v>
      </c>
      <c r="G176" s="51">
        <v>0</v>
      </c>
    </row>
    <row r="177" spans="1:7" ht="12.75">
      <c r="A177" s="10"/>
      <c r="B177" s="10"/>
      <c r="C177" s="10"/>
      <c r="D177" s="10"/>
      <c r="E177" s="10"/>
      <c r="F177" s="10" t="s">
        <v>737</v>
      </c>
      <c r="G177" s="51">
        <v>0</v>
      </c>
    </row>
    <row r="178" spans="1:7" ht="12.75">
      <c r="A178" s="10"/>
      <c r="B178" s="10"/>
      <c r="C178" s="10"/>
      <c r="D178" s="10"/>
      <c r="E178" s="10"/>
      <c r="F178" s="10" t="s">
        <v>738</v>
      </c>
      <c r="G178" s="51">
        <v>0</v>
      </c>
    </row>
    <row r="179" spans="1:7" ht="12.75">
      <c r="A179" s="10" t="s">
        <v>515</v>
      </c>
      <c r="B179" s="10"/>
      <c r="C179" s="10" t="s">
        <v>516</v>
      </c>
      <c r="D179" s="10" t="s">
        <v>517</v>
      </c>
      <c r="E179" s="10" t="s">
        <v>169</v>
      </c>
      <c r="F179" s="10" t="s">
        <v>739</v>
      </c>
      <c r="G179" s="51">
        <v>127.66</v>
      </c>
    </row>
    <row r="180" spans="1:7" ht="12.75">
      <c r="A180" s="10"/>
      <c r="B180" s="10"/>
      <c r="C180" s="10"/>
      <c r="D180" s="10"/>
      <c r="E180" s="10"/>
      <c r="F180" s="10" t="s">
        <v>740</v>
      </c>
      <c r="G180" s="51">
        <v>0</v>
      </c>
    </row>
    <row r="181" spans="1:7" ht="12.75">
      <c r="A181" s="10" t="s">
        <v>518</v>
      </c>
      <c r="B181" s="10"/>
      <c r="C181" s="10" t="s">
        <v>519</v>
      </c>
      <c r="D181" s="10" t="s">
        <v>520</v>
      </c>
      <c r="E181" s="10" t="s">
        <v>162</v>
      </c>
      <c r="F181" s="10"/>
      <c r="G181" s="51">
        <v>24</v>
      </c>
    </row>
    <row r="182" spans="1:7" ht="12.75">
      <c r="A182" s="10" t="s">
        <v>521</v>
      </c>
      <c r="B182" s="10"/>
      <c r="C182" s="10" t="s">
        <v>522</v>
      </c>
      <c r="D182" s="10" t="s">
        <v>523</v>
      </c>
      <c r="E182" s="10" t="s">
        <v>169</v>
      </c>
      <c r="F182" s="10" t="s">
        <v>741</v>
      </c>
      <c r="G182" s="51">
        <v>622.15</v>
      </c>
    </row>
    <row r="183" spans="1:7" ht="12.75">
      <c r="A183" s="10" t="s">
        <v>524</v>
      </c>
      <c r="B183" s="10"/>
      <c r="C183" s="10" t="s">
        <v>525</v>
      </c>
      <c r="D183" s="10" t="s">
        <v>526</v>
      </c>
      <c r="E183" s="10" t="s">
        <v>231</v>
      </c>
      <c r="F183" s="10" t="s">
        <v>742</v>
      </c>
      <c r="G183" s="51">
        <v>32673.28</v>
      </c>
    </row>
    <row r="184" spans="1:7" ht="12.75">
      <c r="A184" s="10" t="s">
        <v>527</v>
      </c>
      <c r="B184" s="10"/>
      <c r="C184" s="10" t="s">
        <v>528</v>
      </c>
      <c r="D184" s="10" t="s">
        <v>529</v>
      </c>
      <c r="E184" s="10" t="s">
        <v>349</v>
      </c>
      <c r="F184" s="10"/>
      <c r="G184" s="51">
        <v>2</v>
      </c>
    </row>
    <row r="185" spans="1:7" ht="12.75">
      <c r="A185" s="10" t="s">
        <v>530</v>
      </c>
      <c r="B185" s="10"/>
      <c r="C185" s="10" t="s">
        <v>531</v>
      </c>
      <c r="D185" s="10" t="s">
        <v>532</v>
      </c>
      <c r="E185" s="10" t="s">
        <v>169</v>
      </c>
      <c r="F185" s="10" t="s">
        <v>743</v>
      </c>
      <c r="G185" s="51">
        <v>65.33</v>
      </c>
    </row>
    <row r="186" spans="1:7" ht="12.75">
      <c r="A186" s="10"/>
      <c r="B186" s="10"/>
      <c r="C186" s="10"/>
      <c r="D186" s="10"/>
      <c r="E186" s="10"/>
      <c r="F186" s="10" t="s">
        <v>744</v>
      </c>
      <c r="G186" s="51">
        <v>0</v>
      </c>
    </row>
    <row r="187" spans="1:7" ht="12.75">
      <c r="A187" s="10" t="s">
        <v>533</v>
      </c>
      <c r="B187" s="10"/>
      <c r="C187" s="10" t="s">
        <v>534</v>
      </c>
      <c r="D187" s="10" t="s">
        <v>535</v>
      </c>
      <c r="E187" s="10" t="s">
        <v>349</v>
      </c>
      <c r="F187" s="10"/>
      <c r="G187" s="51">
        <v>1</v>
      </c>
    </row>
    <row r="188" spans="1:7" ht="12.75">
      <c r="A188" s="10" t="s">
        <v>536</v>
      </c>
      <c r="B188" s="10"/>
      <c r="C188" s="10" t="s">
        <v>537</v>
      </c>
      <c r="D188" s="10" t="s">
        <v>538</v>
      </c>
      <c r="E188" s="10" t="s">
        <v>539</v>
      </c>
      <c r="F188" s="10"/>
      <c r="G188" s="51">
        <v>2</v>
      </c>
    </row>
    <row r="189" spans="1:7" ht="12.75">
      <c r="A189" s="10" t="s">
        <v>540</v>
      </c>
      <c r="B189" s="10"/>
      <c r="C189" s="10" t="s">
        <v>541</v>
      </c>
      <c r="D189" s="10" t="s">
        <v>542</v>
      </c>
      <c r="E189" s="10" t="s">
        <v>543</v>
      </c>
      <c r="F189" s="10"/>
      <c r="G189" s="51">
        <v>360</v>
      </c>
    </row>
    <row r="190" spans="1:7" ht="12.75">
      <c r="A190" s="10" t="s">
        <v>544</v>
      </c>
      <c r="B190" s="10"/>
      <c r="C190" s="10" t="s">
        <v>545</v>
      </c>
      <c r="D190" s="10" t="s">
        <v>546</v>
      </c>
      <c r="E190" s="10" t="s">
        <v>349</v>
      </c>
      <c r="F190" s="10"/>
      <c r="G190" s="51">
        <v>1</v>
      </c>
    </row>
    <row r="191" spans="1:7" ht="12.75">
      <c r="A191" s="10" t="s">
        <v>547</v>
      </c>
      <c r="B191" s="10"/>
      <c r="C191" s="10" t="s">
        <v>548</v>
      </c>
      <c r="D191" s="10" t="s">
        <v>549</v>
      </c>
      <c r="E191" s="10" t="s">
        <v>231</v>
      </c>
      <c r="F191" s="10" t="s">
        <v>745</v>
      </c>
      <c r="G191" s="51">
        <v>3435.32</v>
      </c>
    </row>
    <row r="192" spans="1:7" ht="12.75">
      <c r="A192" s="10" t="s">
        <v>550</v>
      </c>
      <c r="B192" s="10"/>
      <c r="C192" s="10" t="s">
        <v>551</v>
      </c>
      <c r="D192" s="10" t="s">
        <v>552</v>
      </c>
      <c r="E192" s="10" t="s">
        <v>169</v>
      </c>
      <c r="F192" s="10" t="s">
        <v>746</v>
      </c>
      <c r="G192" s="51">
        <v>163.28</v>
      </c>
    </row>
    <row r="193" spans="1:7" ht="12.75">
      <c r="A193" s="10" t="s">
        <v>553</v>
      </c>
      <c r="B193" s="10"/>
      <c r="C193" s="10" t="s">
        <v>554</v>
      </c>
      <c r="D193" s="10" t="s">
        <v>555</v>
      </c>
      <c r="E193" s="10" t="s">
        <v>190</v>
      </c>
      <c r="F193" s="10" t="s">
        <v>747</v>
      </c>
      <c r="G193" s="51">
        <v>112.74</v>
      </c>
    </row>
    <row r="194" spans="1:7" ht="12.75">
      <c r="A194" s="10"/>
      <c r="B194" s="10"/>
      <c r="C194" s="10"/>
      <c r="D194" s="10"/>
      <c r="E194" s="10"/>
      <c r="F194" s="10" t="s">
        <v>748</v>
      </c>
      <c r="G194" s="51">
        <v>0</v>
      </c>
    </row>
    <row r="195" spans="1:7" ht="12.75">
      <c r="A195" s="10"/>
      <c r="B195" s="10"/>
      <c r="C195" s="10"/>
      <c r="D195" s="10"/>
      <c r="E195" s="10"/>
      <c r="F195" s="10" t="s">
        <v>749</v>
      </c>
      <c r="G195" s="51">
        <v>0</v>
      </c>
    </row>
    <row r="196" spans="1:7" ht="12.75">
      <c r="A196" s="10"/>
      <c r="B196" s="10"/>
      <c r="C196" s="10"/>
      <c r="D196" s="10"/>
      <c r="E196" s="10"/>
      <c r="F196" s="10" t="s">
        <v>750</v>
      </c>
      <c r="G196" s="51">
        <v>0</v>
      </c>
    </row>
    <row r="197" spans="1:7" ht="12.75">
      <c r="A197" s="10"/>
      <c r="B197" s="10"/>
      <c r="C197" s="10"/>
      <c r="D197" s="10"/>
      <c r="E197" s="10"/>
      <c r="F197" s="10" t="s">
        <v>751</v>
      </c>
      <c r="G197" s="51">
        <v>0</v>
      </c>
    </row>
    <row r="198" spans="1:7" ht="12.75">
      <c r="A198" s="10"/>
      <c r="B198" s="10"/>
      <c r="C198" s="10"/>
      <c r="D198" s="10"/>
      <c r="E198" s="10"/>
      <c r="F198" s="10" t="s">
        <v>752</v>
      </c>
      <c r="G198" s="51">
        <v>0</v>
      </c>
    </row>
    <row r="199" spans="1:7" ht="12.75">
      <c r="A199" s="10"/>
      <c r="B199" s="10"/>
      <c r="C199" s="10"/>
      <c r="D199" s="10"/>
      <c r="E199" s="10"/>
      <c r="F199" s="10" t="s">
        <v>753</v>
      </c>
      <c r="G199" s="51">
        <v>0</v>
      </c>
    </row>
    <row r="200" spans="1:7" ht="12.75">
      <c r="A200" s="10"/>
      <c r="B200" s="10"/>
      <c r="C200" s="10"/>
      <c r="D200" s="10"/>
      <c r="E200" s="10"/>
      <c r="F200" s="10" t="s">
        <v>754</v>
      </c>
      <c r="G200" s="51">
        <v>0</v>
      </c>
    </row>
    <row r="201" spans="1:7" ht="12.75">
      <c r="A201" s="10"/>
      <c r="B201" s="10"/>
      <c r="C201" s="10"/>
      <c r="D201" s="10"/>
      <c r="E201" s="10"/>
      <c r="F201" s="10" t="s">
        <v>755</v>
      </c>
      <c r="G201" s="51">
        <v>0</v>
      </c>
    </row>
    <row r="202" spans="1:7" ht="12.75">
      <c r="A202" s="10"/>
      <c r="B202" s="10"/>
      <c r="C202" s="10"/>
      <c r="D202" s="10"/>
      <c r="E202" s="10"/>
      <c r="F202" s="10" t="s">
        <v>756</v>
      </c>
      <c r="G202" s="51">
        <v>0</v>
      </c>
    </row>
    <row r="203" spans="1:7" ht="12.75">
      <c r="A203" s="10" t="s">
        <v>556</v>
      </c>
      <c r="B203" s="10"/>
      <c r="C203" s="10" t="s">
        <v>557</v>
      </c>
      <c r="D203" s="10" t="s">
        <v>558</v>
      </c>
      <c r="E203" s="10" t="s">
        <v>169</v>
      </c>
      <c r="F203" s="10" t="s">
        <v>757</v>
      </c>
      <c r="G203" s="51">
        <v>148.8</v>
      </c>
    </row>
    <row r="204" spans="1:7" ht="12.75">
      <c r="A204" s="10" t="s">
        <v>559</v>
      </c>
      <c r="B204" s="10"/>
      <c r="C204" s="10" t="s">
        <v>560</v>
      </c>
      <c r="D204" s="10" t="s">
        <v>561</v>
      </c>
      <c r="E204" s="10" t="s">
        <v>169</v>
      </c>
      <c r="F204" s="10" t="s">
        <v>758</v>
      </c>
      <c r="G204" s="51">
        <v>160.07</v>
      </c>
    </row>
    <row r="205" spans="1:7" ht="12.75">
      <c r="A205" s="10" t="s">
        <v>562</v>
      </c>
      <c r="B205" s="10"/>
      <c r="C205" s="10" t="s">
        <v>563</v>
      </c>
      <c r="D205" s="10" t="s">
        <v>564</v>
      </c>
      <c r="E205" s="10" t="s">
        <v>169</v>
      </c>
      <c r="F205" s="10" t="s">
        <v>759</v>
      </c>
      <c r="G205" s="51">
        <v>10.7</v>
      </c>
    </row>
    <row r="206" spans="1:7" ht="12.75">
      <c r="A206" s="10" t="s">
        <v>565</v>
      </c>
      <c r="B206" s="10"/>
      <c r="C206" s="10" t="s">
        <v>566</v>
      </c>
      <c r="D206" s="10" t="s">
        <v>567</v>
      </c>
      <c r="E206" s="10" t="s">
        <v>231</v>
      </c>
      <c r="F206" s="10" t="s">
        <v>760</v>
      </c>
      <c r="G206" s="51">
        <v>1011.86</v>
      </c>
    </row>
    <row r="207" spans="1:7" ht="12.75">
      <c r="A207" s="10" t="s">
        <v>568</v>
      </c>
      <c r="B207" s="10"/>
      <c r="C207" s="10" t="s">
        <v>569</v>
      </c>
      <c r="D207" s="10" t="s">
        <v>570</v>
      </c>
      <c r="E207" s="10" t="s">
        <v>190</v>
      </c>
      <c r="F207" s="10" t="s">
        <v>761</v>
      </c>
      <c r="G207" s="51">
        <v>116.42</v>
      </c>
    </row>
    <row r="208" spans="1:7" ht="12.75">
      <c r="A208" s="10"/>
      <c r="B208" s="10"/>
      <c r="C208" s="10"/>
      <c r="D208" s="10"/>
      <c r="E208" s="10"/>
      <c r="F208" s="10" t="s">
        <v>762</v>
      </c>
      <c r="G208" s="51">
        <v>0</v>
      </c>
    </row>
    <row r="209" spans="1:7" ht="12.75">
      <c r="A209" s="10" t="s">
        <v>571</v>
      </c>
      <c r="B209" s="10"/>
      <c r="C209" s="10" t="s">
        <v>572</v>
      </c>
      <c r="D209" s="10" t="s">
        <v>573</v>
      </c>
      <c r="E209" s="10" t="s">
        <v>169</v>
      </c>
      <c r="F209" s="10" t="s">
        <v>763</v>
      </c>
      <c r="G209" s="51">
        <v>299</v>
      </c>
    </row>
    <row r="210" spans="1:7" ht="12.75">
      <c r="A210" s="10" t="s">
        <v>574</v>
      </c>
      <c r="B210" s="10"/>
      <c r="C210" s="10" t="s">
        <v>575</v>
      </c>
      <c r="D210" s="10" t="s">
        <v>576</v>
      </c>
      <c r="E210" s="10" t="s">
        <v>231</v>
      </c>
      <c r="F210" s="10" t="s">
        <v>764</v>
      </c>
      <c r="G210" s="51">
        <v>1309.31</v>
      </c>
    </row>
    <row r="211" spans="1:7" ht="12.75">
      <c r="A211" s="10" t="s">
        <v>577</v>
      </c>
      <c r="B211" s="10"/>
      <c r="C211" s="10" t="s">
        <v>578</v>
      </c>
      <c r="D211" s="10" t="s">
        <v>579</v>
      </c>
      <c r="E211" s="10" t="s">
        <v>169</v>
      </c>
      <c r="F211" s="10" t="s">
        <v>765</v>
      </c>
      <c r="G211" s="51">
        <v>136.41</v>
      </c>
    </row>
    <row r="212" spans="1:7" ht="12.75">
      <c r="A212" s="10" t="s">
        <v>580</v>
      </c>
      <c r="B212" s="10"/>
      <c r="C212" s="10" t="s">
        <v>581</v>
      </c>
      <c r="D212" s="10" t="s">
        <v>582</v>
      </c>
      <c r="E212" s="10" t="s">
        <v>169</v>
      </c>
      <c r="F212" s="10" t="s">
        <v>766</v>
      </c>
      <c r="G212" s="51">
        <v>133.74</v>
      </c>
    </row>
    <row r="213" spans="1:7" ht="12.75">
      <c r="A213" s="10"/>
      <c r="B213" s="10"/>
      <c r="C213" s="10"/>
      <c r="D213" s="10"/>
      <c r="E213" s="10"/>
      <c r="F213" s="10" t="s">
        <v>767</v>
      </c>
      <c r="G213" s="51">
        <v>0</v>
      </c>
    </row>
    <row r="214" spans="1:7" ht="12.75">
      <c r="A214" s="10"/>
      <c r="B214" s="10"/>
      <c r="C214" s="10"/>
      <c r="D214" s="10"/>
      <c r="E214" s="10"/>
      <c r="F214" s="10" t="s">
        <v>768</v>
      </c>
      <c r="G214" s="51">
        <v>0</v>
      </c>
    </row>
    <row r="215" spans="1:7" ht="12.75">
      <c r="A215" s="10"/>
      <c r="B215" s="10"/>
      <c r="C215" s="10"/>
      <c r="D215" s="10"/>
      <c r="E215" s="10"/>
      <c r="F215" s="10" t="s">
        <v>769</v>
      </c>
      <c r="G215" s="51">
        <v>0</v>
      </c>
    </row>
    <row r="216" spans="1:7" ht="12.75">
      <c r="A216" s="10"/>
      <c r="B216" s="10"/>
      <c r="C216" s="10"/>
      <c r="D216" s="10"/>
      <c r="E216" s="10"/>
      <c r="F216" s="10" t="s">
        <v>770</v>
      </c>
      <c r="G216" s="51">
        <v>0</v>
      </c>
    </row>
    <row r="217" spans="1:7" ht="12.75">
      <c r="A217" s="10"/>
      <c r="B217" s="10"/>
      <c r="C217" s="10"/>
      <c r="D217" s="10"/>
      <c r="E217" s="10"/>
      <c r="F217" s="10" t="s">
        <v>771</v>
      </c>
      <c r="G217" s="51">
        <v>0</v>
      </c>
    </row>
    <row r="218" spans="1:7" ht="12.75">
      <c r="A218" s="10"/>
      <c r="B218" s="10"/>
      <c r="C218" s="10"/>
      <c r="D218" s="10"/>
      <c r="E218" s="10"/>
      <c r="F218" s="10" t="s">
        <v>772</v>
      </c>
      <c r="G218" s="51">
        <v>0</v>
      </c>
    </row>
    <row r="219" spans="1:7" ht="12.75">
      <c r="A219" s="10"/>
      <c r="B219" s="10"/>
      <c r="C219" s="10"/>
      <c r="D219" s="10"/>
      <c r="E219" s="10"/>
      <c r="F219" s="10" t="s">
        <v>773</v>
      </c>
      <c r="G219" s="51">
        <v>0</v>
      </c>
    </row>
    <row r="220" spans="1:7" ht="12.75">
      <c r="A220" s="10"/>
      <c r="B220" s="10"/>
      <c r="C220" s="10"/>
      <c r="D220" s="10"/>
      <c r="E220" s="10"/>
      <c r="F220" s="10" t="s">
        <v>774</v>
      </c>
      <c r="G220" s="51">
        <v>0</v>
      </c>
    </row>
    <row r="221" spans="1:7" ht="12.75">
      <c r="A221" s="10" t="s">
        <v>583</v>
      </c>
      <c r="B221" s="10"/>
      <c r="C221" s="10" t="s">
        <v>584</v>
      </c>
      <c r="D221" s="10" t="s">
        <v>585</v>
      </c>
      <c r="E221" s="10" t="s">
        <v>169</v>
      </c>
      <c r="F221" s="10" t="s">
        <v>775</v>
      </c>
      <c r="G221" s="51">
        <v>27.56</v>
      </c>
    </row>
    <row r="222" spans="1:7" ht="12.75">
      <c r="A222" s="10" t="s">
        <v>586</v>
      </c>
      <c r="B222" s="10"/>
      <c r="C222" s="10" t="s">
        <v>587</v>
      </c>
      <c r="D222" s="10" t="s">
        <v>561</v>
      </c>
      <c r="E222" s="10" t="s">
        <v>169</v>
      </c>
      <c r="F222" s="10"/>
      <c r="G222" s="51">
        <v>133.74</v>
      </c>
    </row>
    <row r="223" spans="1:7" ht="12.75">
      <c r="A223" s="10" t="s">
        <v>588</v>
      </c>
      <c r="B223" s="10"/>
      <c r="C223" s="10" t="s">
        <v>589</v>
      </c>
      <c r="D223" s="10" t="s">
        <v>590</v>
      </c>
      <c r="E223" s="10" t="s">
        <v>231</v>
      </c>
      <c r="F223" s="10" t="s">
        <v>776</v>
      </c>
      <c r="G223" s="51">
        <v>1096.1</v>
      </c>
    </row>
    <row r="224" spans="1:7" ht="12.75">
      <c r="A224" s="10" t="s">
        <v>591</v>
      </c>
      <c r="B224" s="10"/>
      <c r="C224" s="10" t="s">
        <v>592</v>
      </c>
      <c r="D224" s="10" t="s">
        <v>593</v>
      </c>
      <c r="E224" s="10" t="s">
        <v>169</v>
      </c>
      <c r="F224" s="10" t="s">
        <v>777</v>
      </c>
      <c r="G224" s="51">
        <v>84.29</v>
      </c>
    </row>
    <row r="225" spans="1:7" ht="12.75">
      <c r="A225" s="10"/>
      <c r="B225" s="10"/>
      <c r="C225" s="10"/>
      <c r="D225" s="10"/>
      <c r="E225" s="10"/>
      <c r="F225" s="10" t="s">
        <v>778</v>
      </c>
      <c r="G225" s="51">
        <v>0</v>
      </c>
    </row>
    <row r="226" spans="1:7" ht="12.75">
      <c r="A226" s="10"/>
      <c r="B226" s="10"/>
      <c r="C226" s="10"/>
      <c r="D226" s="10"/>
      <c r="E226" s="10"/>
      <c r="F226" s="10" t="s">
        <v>779</v>
      </c>
      <c r="G226" s="51">
        <v>0</v>
      </c>
    </row>
    <row r="227" spans="1:7" ht="12.75">
      <c r="A227" s="10"/>
      <c r="B227" s="10"/>
      <c r="C227" s="10"/>
      <c r="D227" s="10"/>
      <c r="E227" s="10"/>
      <c r="F227" s="10" t="s">
        <v>780</v>
      </c>
      <c r="G227" s="51">
        <v>0</v>
      </c>
    </row>
    <row r="228" spans="1:7" ht="12.75">
      <c r="A228" s="10" t="s">
        <v>594</v>
      </c>
      <c r="B228" s="10"/>
      <c r="C228" s="10" t="s">
        <v>595</v>
      </c>
      <c r="D228" s="10" t="s">
        <v>596</v>
      </c>
      <c r="E228" s="10" t="s">
        <v>190</v>
      </c>
      <c r="F228" s="10" t="s">
        <v>781</v>
      </c>
      <c r="G228" s="51">
        <v>33</v>
      </c>
    </row>
    <row r="229" spans="1:7" ht="12.75">
      <c r="A229" s="10" t="s">
        <v>597</v>
      </c>
      <c r="B229" s="10"/>
      <c r="C229" s="10" t="s">
        <v>598</v>
      </c>
      <c r="D229" s="10" t="s">
        <v>599</v>
      </c>
      <c r="E229" s="10" t="s">
        <v>169</v>
      </c>
      <c r="F229" s="10" t="s">
        <v>782</v>
      </c>
      <c r="G229" s="51">
        <v>836.44</v>
      </c>
    </row>
    <row r="230" spans="1:7" ht="12.75">
      <c r="A230" s="10" t="s">
        <v>600</v>
      </c>
      <c r="B230" s="10"/>
      <c r="C230" s="10" t="s">
        <v>601</v>
      </c>
      <c r="D230" s="10" t="s">
        <v>602</v>
      </c>
      <c r="E230" s="10" t="s">
        <v>169</v>
      </c>
      <c r="F230" s="10" t="s">
        <v>783</v>
      </c>
      <c r="G230" s="51">
        <v>1418.74</v>
      </c>
    </row>
    <row r="231" spans="1:7" ht="12.75">
      <c r="A231" s="10"/>
      <c r="B231" s="10"/>
      <c r="C231" s="10"/>
      <c r="D231" s="10"/>
      <c r="E231" s="10"/>
      <c r="F231" s="10" t="s">
        <v>784</v>
      </c>
      <c r="G231" s="51">
        <v>0</v>
      </c>
    </row>
    <row r="232" spans="1:7" ht="12.75">
      <c r="A232" s="10"/>
      <c r="B232" s="10"/>
      <c r="C232" s="10"/>
      <c r="D232" s="10"/>
      <c r="E232" s="10"/>
      <c r="F232" s="10" t="s">
        <v>785</v>
      </c>
      <c r="G232" s="51">
        <v>0</v>
      </c>
    </row>
    <row r="233" spans="1:7" ht="12.75">
      <c r="A233" s="10"/>
      <c r="B233" s="10"/>
      <c r="C233" s="10"/>
      <c r="D233" s="10"/>
      <c r="E233" s="10"/>
      <c r="F233" s="10" t="s">
        <v>786</v>
      </c>
      <c r="G233" s="51">
        <v>0</v>
      </c>
    </row>
    <row r="234" spans="1:7" ht="12.75">
      <c r="A234" s="10"/>
      <c r="B234" s="10"/>
      <c r="C234" s="10"/>
      <c r="D234" s="10"/>
      <c r="E234" s="10"/>
      <c r="F234" s="10" t="s">
        <v>787</v>
      </c>
      <c r="G234" s="51">
        <v>0</v>
      </c>
    </row>
    <row r="235" spans="1:7" ht="12.75">
      <c r="A235" s="10"/>
      <c r="B235" s="10"/>
      <c r="C235" s="10"/>
      <c r="D235" s="10"/>
      <c r="E235" s="10"/>
      <c r="F235" s="10" t="s">
        <v>788</v>
      </c>
      <c r="G235" s="51">
        <v>0</v>
      </c>
    </row>
    <row r="236" spans="1:7" ht="12.75">
      <c r="A236" s="10"/>
      <c r="B236" s="10"/>
      <c r="C236" s="10"/>
      <c r="D236" s="10"/>
      <c r="E236" s="10"/>
      <c r="F236" s="10" t="s">
        <v>789</v>
      </c>
      <c r="G236" s="51">
        <v>0</v>
      </c>
    </row>
    <row r="237" spans="1:7" ht="12.75">
      <c r="A237" s="10"/>
      <c r="B237" s="10"/>
      <c r="C237" s="10"/>
      <c r="D237" s="10"/>
      <c r="E237" s="10"/>
      <c r="F237" s="10" t="s">
        <v>680</v>
      </c>
      <c r="G237" s="51">
        <v>0</v>
      </c>
    </row>
    <row r="238" spans="1:7" ht="12.75">
      <c r="A238" s="10"/>
      <c r="B238" s="10"/>
      <c r="C238" s="10"/>
      <c r="D238" s="10"/>
      <c r="E238" s="10"/>
      <c r="F238" s="10" t="s">
        <v>790</v>
      </c>
      <c r="G238" s="51">
        <v>0</v>
      </c>
    </row>
    <row r="239" spans="1:7" ht="12.75">
      <c r="A239" s="10"/>
      <c r="B239" s="10"/>
      <c r="C239" s="10"/>
      <c r="D239" s="10"/>
      <c r="E239" s="10"/>
      <c r="F239" s="10" t="s">
        <v>791</v>
      </c>
      <c r="G239" s="51">
        <v>0</v>
      </c>
    </row>
    <row r="240" spans="1:7" ht="12.75">
      <c r="A240" s="10" t="s">
        <v>603</v>
      </c>
      <c r="B240" s="10"/>
      <c r="C240" s="10" t="s">
        <v>604</v>
      </c>
      <c r="D240" s="10" t="s">
        <v>605</v>
      </c>
      <c r="E240" s="10" t="s">
        <v>169</v>
      </c>
      <c r="F240" s="10"/>
      <c r="G240" s="51">
        <v>1430.2</v>
      </c>
    </row>
    <row r="241" spans="1:7" ht="12.75">
      <c r="A241" s="10" t="s">
        <v>606</v>
      </c>
      <c r="B241" s="10"/>
      <c r="C241" s="10" t="s">
        <v>607</v>
      </c>
      <c r="D241" s="10" t="s">
        <v>608</v>
      </c>
      <c r="E241" s="10" t="s">
        <v>169</v>
      </c>
      <c r="F241" s="10" t="s">
        <v>792</v>
      </c>
      <c r="G241" s="51">
        <v>68.23</v>
      </c>
    </row>
    <row r="242" spans="1:7" ht="12.75">
      <c r="A242" s="10" t="s">
        <v>609</v>
      </c>
      <c r="B242" s="10"/>
      <c r="C242" s="10" t="s">
        <v>610</v>
      </c>
      <c r="D242" s="10" t="s">
        <v>611</v>
      </c>
      <c r="E242" s="10" t="s">
        <v>231</v>
      </c>
      <c r="F242" s="10" t="s">
        <v>793</v>
      </c>
      <c r="G242" s="51">
        <v>1703.65</v>
      </c>
    </row>
    <row r="243" spans="1:7" ht="12.75">
      <c r="A243" s="10" t="s">
        <v>612</v>
      </c>
      <c r="B243" s="10"/>
      <c r="C243" s="10" t="s">
        <v>613</v>
      </c>
      <c r="D243" s="10" t="s">
        <v>614</v>
      </c>
      <c r="E243" s="10" t="s">
        <v>539</v>
      </c>
      <c r="F243" s="10"/>
      <c r="G243" s="51">
        <v>3</v>
      </c>
    </row>
    <row r="244" spans="1:7" ht="12.75">
      <c r="A244" s="10" t="s">
        <v>615</v>
      </c>
      <c r="B244" s="10"/>
      <c r="C244" s="10" t="s">
        <v>616</v>
      </c>
      <c r="D244" s="10" t="s">
        <v>617</v>
      </c>
      <c r="E244" s="10" t="s">
        <v>539</v>
      </c>
      <c r="F244" s="10"/>
      <c r="G244" s="51">
        <v>5</v>
      </c>
    </row>
    <row r="245" spans="1:7" ht="12.75">
      <c r="A245" s="10" t="s">
        <v>618</v>
      </c>
      <c r="B245" s="10"/>
      <c r="C245" s="10" t="s">
        <v>619</v>
      </c>
      <c r="D245" s="10" t="s">
        <v>620</v>
      </c>
      <c r="E245" s="10" t="s">
        <v>169</v>
      </c>
      <c r="F245" s="10" t="s">
        <v>794</v>
      </c>
      <c r="G245" s="51">
        <v>811.4</v>
      </c>
    </row>
    <row r="246" spans="1:7" ht="12.75">
      <c r="A246" s="10" t="s">
        <v>621</v>
      </c>
      <c r="B246" s="10"/>
      <c r="C246" s="10" t="s">
        <v>622</v>
      </c>
      <c r="D246" s="10" t="s">
        <v>623</v>
      </c>
      <c r="E246" s="10" t="s">
        <v>169</v>
      </c>
      <c r="F246" s="10" t="s">
        <v>795</v>
      </c>
      <c r="G246" s="51">
        <v>1622.8</v>
      </c>
    </row>
    <row r="247" spans="1:7" ht="12.75">
      <c r="A247" s="10" t="s">
        <v>624</v>
      </c>
      <c r="B247" s="10"/>
      <c r="C247" s="10" t="s">
        <v>625</v>
      </c>
      <c r="D247" s="10" t="s">
        <v>626</v>
      </c>
      <c r="E247" s="10" t="s">
        <v>169</v>
      </c>
      <c r="F247" s="10"/>
      <c r="G247" s="51">
        <v>811.4</v>
      </c>
    </row>
    <row r="248" spans="1:7" ht="12.75">
      <c r="A248" s="10" t="s">
        <v>627</v>
      </c>
      <c r="B248" s="10"/>
      <c r="C248" s="10" t="s">
        <v>628</v>
      </c>
      <c r="D248" s="10" t="s">
        <v>629</v>
      </c>
      <c r="E248" s="10" t="s">
        <v>169</v>
      </c>
      <c r="F248" s="10" t="s">
        <v>796</v>
      </c>
      <c r="G248" s="51">
        <v>127.66</v>
      </c>
    </row>
    <row r="249" spans="1:7" ht="12.75">
      <c r="A249" s="10" t="s">
        <v>631</v>
      </c>
      <c r="B249" s="10"/>
      <c r="C249" s="10" t="s">
        <v>632</v>
      </c>
      <c r="D249" s="10" t="s">
        <v>633</v>
      </c>
      <c r="E249" s="10" t="s">
        <v>634</v>
      </c>
      <c r="F249" s="10" t="s">
        <v>797</v>
      </c>
      <c r="G249" s="51">
        <v>126.62</v>
      </c>
    </row>
    <row r="250" spans="1:7" ht="12.75">
      <c r="A250" s="10" t="s">
        <v>636</v>
      </c>
      <c r="B250" s="10"/>
      <c r="C250" s="10" t="s">
        <v>637</v>
      </c>
      <c r="D250" s="10" t="s">
        <v>638</v>
      </c>
      <c r="E250" s="10" t="s">
        <v>349</v>
      </c>
      <c r="F250" s="10"/>
      <c r="G250" s="51">
        <v>1</v>
      </c>
    </row>
    <row r="251" spans="1:7" ht="12.75">
      <c r="A251" s="10" t="s">
        <v>16</v>
      </c>
      <c r="B251" s="10"/>
      <c r="C251" s="10" t="s">
        <v>640</v>
      </c>
      <c r="D251" s="10" t="s">
        <v>641</v>
      </c>
      <c r="E251" s="10" t="s">
        <v>162</v>
      </c>
      <c r="F251" s="10"/>
      <c r="G251" s="51">
        <v>2</v>
      </c>
    </row>
  </sheetData>
  <sheetProtection selectLockedCells="1" selectUnlockedCells="1"/>
  <mergeCells count="17">
    <mergeCell ref="A1:G1"/>
    <mergeCell ref="A2:B3"/>
    <mergeCell ref="C2:D3"/>
    <mergeCell ref="E2:E3"/>
    <mergeCell ref="F2:G3"/>
    <mergeCell ref="A4:B5"/>
    <mergeCell ref="C4:D5"/>
    <mergeCell ref="E4:E5"/>
    <mergeCell ref="F4:G5"/>
    <mergeCell ref="A6:B7"/>
    <mergeCell ref="C6:D7"/>
    <mergeCell ref="E6:E7"/>
    <mergeCell ref="F6:G7"/>
    <mergeCell ref="A8:B9"/>
    <mergeCell ref="C8:D9"/>
    <mergeCell ref="E8:E9"/>
    <mergeCell ref="F8:G9"/>
  </mergeCells>
  <printOptions/>
  <pageMargins left="0.7479166666666667" right="0.7479166666666667" top="0.9840277777777777" bottom="0.6375" header="0.5118055555555555" footer="0.4722222222222222"/>
  <pageSetup fitToHeight="3" fitToWidth="1" horizontalDpi="300" verticalDpi="300" orientation="portrait" paperSize="9"/>
  <headerFooter alignWithMargins="0">
    <oddFooter>&amp;L&amp;"Times New Roman,obyčejné"&amp;12&amp;A&amp;C&amp;"Times New Roman,obyčejné"&amp;12II. etapa&amp;R&amp;"Times New Roman,obyčejné"&amp;12&amp;P/&amp;N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Hejl</cp:lastModifiedBy>
  <dcterms:modified xsi:type="dcterms:W3CDTF">2010-11-16T07:33:32Z</dcterms:modified>
  <cp:category/>
  <cp:version/>
  <cp:contentType/>
  <cp:contentStatus/>
  <cp:revision>13</cp:revision>
</cp:coreProperties>
</file>